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6.xml" ContentType="application/vnd.openxmlformats-officedocument.spreadsheetml.comments+xml"/>
  <Override PartName="/xl/comments9.xml" ContentType="application/vnd.openxmlformats-officedocument.spreadsheetml.comments+xml"/>
  <Override PartName="/xl/comments5.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a2fb40ee25bb041e/Documents/WEBSITE/"/>
    </mc:Choice>
  </mc:AlternateContent>
  <xr:revisionPtr revIDLastSave="0" documentId="8_{0C389BDB-B22B-4002-A73A-C38EE651ED41}" xr6:coauthVersionLast="45" xr6:coauthVersionMax="45" xr10:uidLastSave="{00000000-0000-0000-0000-000000000000}"/>
  <bookViews>
    <workbookView xWindow="-120" yWindow="-120" windowWidth="20730" windowHeight="11160" tabRatio="707" firstSheet="19" activeTab="22" xr2:uid="{00000000-000D-0000-FFFF-FFFF00000000}"/>
  </bookViews>
  <sheets>
    <sheet name="Contents" sheetId="1" r:id="rId1"/>
    <sheet name="Data 1" sheetId="2" r:id="rId2"/>
    <sheet name="Total Fracking Leakage (2006)" sheetId="3" r:id="rId3"/>
    <sheet name="TFL (2006) (20yr GWP)" sheetId="4" r:id="rId4"/>
    <sheet name="Total Fracking Leakage (Maximum" sheetId="5" r:id="rId5"/>
    <sheet name="TFL (Maximum (20yr GWP)" sheetId="6" r:id="rId6"/>
    <sheet name="Total Fracking Leakage (Average" sheetId="7" r:id="rId7"/>
    <sheet name="TFL (Average) (20yr GWP)" sheetId="8" r:id="rId8"/>
    <sheet name="Total Fracking Leakage (67%)" sheetId="9" r:id="rId9"/>
    <sheet name="TFL (67%) (20yr GWP)" sheetId="10" r:id="rId10"/>
    <sheet name="PA Frack Wells" sheetId="11" r:id="rId11"/>
    <sheet name="Emission Calculations" sheetId="12" r:id="rId12"/>
    <sheet name="Emission Calculations (2)" sheetId="13" r:id="rId13"/>
    <sheet name="Emission Calculations (3)" sheetId="14" r:id="rId14"/>
    <sheet name="Emission Calculations (4)" sheetId="15" r:id="rId15"/>
    <sheet name="Guidance and Sources" sheetId="16" r:id="rId16"/>
    <sheet name="PA Frack Wells (84)" sheetId="17" r:id="rId17"/>
    <sheet name="Emission Calculations (84)" sheetId="18" r:id="rId18"/>
    <sheet name="Emission Calculations (84) (2)" sheetId="19" r:id="rId19"/>
    <sheet name="Emission Calculations (84) (3)" sheetId="20" r:id="rId20"/>
    <sheet name="Emission Calculations (84) (4)" sheetId="21" r:id="rId21"/>
    <sheet name="Guidance and Sources (84)" sheetId="22" r:id="rId22"/>
    <sheet name="Graphic" sheetId="23"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7" l="1"/>
  <c r="C54" i="10"/>
  <c r="D76" i="17" s="1"/>
  <c r="D54" i="10"/>
  <c r="E54" i="10" s="1"/>
  <c r="F54" i="10" s="1"/>
  <c r="G54" i="10" s="1"/>
  <c r="H54" i="10" s="1"/>
  <c r="I54" i="10" s="1"/>
  <c r="C54" i="9"/>
  <c r="D54" i="9" s="1"/>
  <c r="E54" i="9" s="1"/>
  <c r="F54" i="9" s="1"/>
  <c r="G54" i="9" s="1"/>
  <c r="H54" i="9" s="1"/>
  <c r="I54" i="9" s="1"/>
  <c r="C54" i="6"/>
  <c r="D64" i="17" s="1"/>
  <c r="D54" i="6"/>
  <c r="E54" i="6" s="1"/>
  <c r="F54" i="6" s="1"/>
  <c r="G54" i="6" s="1"/>
  <c r="H54" i="6" s="1"/>
  <c r="I54" i="6" s="1"/>
  <c r="C54" i="5"/>
  <c r="D64" i="11" s="1"/>
  <c r="D54" i="5"/>
  <c r="E54" i="5" s="1"/>
  <c r="F54" i="5" s="1"/>
  <c r="G54" i="5" s="1"/>
  <c r="H54" i="5" s="1"/>
  <c r="I54" i="5" s="1"/>
  <c r="C54" i="4"/>
  <c r="D54" i="4" s="1"/>
  <c r="E54" i="4" s="1"/>
  <c r="F54" i="4" s="1"/>
  <c r="G54" i="4" s="1"/>
  <c r="H54" i="4" s="1"/>
  <c r="I54" i="4" s="1"/>
  <c r="C54" i="3"/>
  <c r="D54" i="3" s="1"/>
  <c r="E54" i="3" s="1"/>
  <c r="F54" i="3" s="1"/>
  <c r="G54" i="3" s="1"/>
  <c r="H54" i="3" s="1"/>
  <c r="I54" i="3" s="1"/>
  <c r="D58" i="11" l="1"/>
  <c r="D76" i="11"/>
  <c r="D23" i="21"/>
  <c r="D20" i="21"/>
  <c r="D16" i="21"/>
  <c r="D14" i="21"/>
  <c r="D13" i="21"/>
  <c r="D12" i="21"/>
  <c r="D7" i="21"/>
  <c r="D23" i="20"/>
  <c r="D20" i="20"/>
  <c r="D16" i="20"/>
  <c r="D14" i="20"/>
  <c r="D13" i="20"/>
  <c r="D12" i="20"/>
  <c r="D7" i="20"/>
  <c r="D23" i="19"/>
  <c r="D22" i="19"/>
  <c r="D20" i="19"/>
  <c r="D16" i="19"/>
  <c r="D14" i="19"/>
  <c r="D13" i="19"/>
  <c r="D12" i="19"/>
  <c r="D7" i="19"/>
  <c r="D23" i="18"/>
  <c r="D20" i="18"/>
  <c r="D16" i="18"/>
  <c r="D14" i="18"/>
  <c r="D13" i="18"/>
  <c r="D12" i="18"/>
  <c r="D7" i="18"/>
  <c r="D23" i="15"/>
  <c r="D20" i="15"/>
  <c r="D18" i="15"/>
  <c r="D16" i="15"/>
  <c r="D14" i="15"/>
  <c r="D13" i="15"/>
  <c r="D12" i="15"/>
  <c r="D7" i="15"/>
  <c r="D23" i="14"/>
  <c r="D20" i="14"/>
  <c r="D16" i="14"/>
  <c r="D14" i="14"/>
  <c r="D13" i="14"/>
  <c r="D12" i="14"/>
  <c r="D7" i="14"/>
  <c r="D23" i="13"/>
  <c r="D20" i="13"/>
  <c r="D16" i="13"/>
  <c r="D14" i="13"/>
  <c r="D13" i="13"/>
  <c r="D12" i="13"/>
  <c r="D7" i="13"/>
  <c r="D23" i="12"/>
  <c r="D20" i="12"/>
  <c r="D16" i="12"/>
  <c r="D14" i="12"/>
  <c r="D13" i="12"/>
  <c r="D12" i="12"/>
  <c r="D7" i="12"/>
  <c r="C63" i="22"/>
  <c r="B54" i="22"/>
  <c r="B55" i="22" s="1"/>
  <c r="D28" i="22"/>
  <c r="H27" i="22"/>
  <c r="D32" i="18" s="1"/>
  <c r="H26" i="22"/>
  <c r="D26" i="22" s="1"/>
  <c r="H25" i="22"/>
  <c r="D25" i="22" s="1"/>
  <c r="D23" i="22"/>
  <c r="D22" i="21" s="1"/>
  <c r="D22" i="22"/>
  <c r="H19" i="22"/>
  <c r="D27" i="20" s="1"/>
  <c r="D19" i="22"/>
  <c r="H13" i="22"/>
  <c r="H12" i="22"/>
  <c r="D28" i="21" s="1"/>
  <c r="D8" i="22"/>
  <c r="D7" i="22"/>
  <c r="D54" i="17"/>
  <c r="C63" i="16"/>
  <c r="B54" i="16"/>
  <c r="B55" i="16" s="1"/>
  <c r="D28" i="16"/>
  <c r="H27" i="16"/>
  <c r="D32" i="14" s="1"/>
  <c r="H26" i="16"/>
  <c r="D26" i="16" s="1"/>
  <c r="H25" i="16"/>
  <c r="D25" i="16" s="1"/>
  <c r="D23" i="16"/>
  <c r="D22" i="16"/>
  <c r="D18" i="13" s="1"/>
  <c r="H19" i="16"/>
  <c r="D27" i="14" s="1"/>
  <c r="D19" i="16"/>
  <c r="H13" i="16"/>
  <c r="H12" i="16"/>
  <c r="D8" i="16"/>
  <c r="D7" i="16"/>
  <c r="D54" i="11"/>
  <c r="C58" i="10"/>
  <c r="J54" i="10" s="1"/>
  <c r="C53" i="10"/>
  <c r="C52" i="10"/>
  <c r="D52" i="10" s="1"/>
  <c r="E52" i="10" s="1"/>
  <c r="F52" i="10" s="1"/>
  <c r="G52" i="10" s="1"/>
  <c r="H52" i="10" s="1"/>
  <c r="I52" i="10" s="1"/>
  <c r="J52" i="10" s="1"/>
  <c r="C51" i="10"/>
  <c r="D51" i="10" s="1"/>
  <c r="E51" i="10" s="1"/>
  <c r="F51" i="10" s="1"/>
  <c r="G51" i="10" s="1"/>
  <c r="H51" i="10" s="1"/>
  <c r="I51" i="10" s="1"/>
  <c r="J51" i="10" s="1"/>
  <c r="C50" i="10"/>
  <c r="D50" i="10" s="1"/>
  <c r="E50" i="10" s="1"/>
  <c r="F50" i="10" s="1"/>
  <c r="G50" i="10" s="1"/>
  <c r="H50" i="10" s="1"/>
  <c r="I50" i="10" s="1"/>
  <c r="J50" i="10" s="1"/>
  <c r="C49" i="10"/>
  <c r="D49" i="10" s="1"/>
  <c r="E49" i="10" s="1"/>
  <c r="F49" i="10" s="1"/>
  <c r="G49" i="10" s="1"/>
  <c r="H49" i="10" s="1"/>
  <c r="I49" i="10" s="1"/>
  <c r="J49" i="10" s="1"/>
  <c r="C48" i="10"/>
  <c r="D48" i="10" s="1"/>
  <c r="E48" i="10" s="1"/>
  <c r="F48" i="10" s="1"/>
  <c r="G48" i="10" s="1"/>
  <c r="H48" i="10" s="1"/>
  <c r="I48" i="10" s="1"/>
  <c r="J48" i="10" s="1"/>
  <c r="C47" i="10"/>
  <c r="D47" i="10" s="1"/>
  <c r="E47" i="10" s="1"/>
  <c r="F47" i="10" s="1"/>
  <c r="G47" i="10" s="1"/>
  <c r="H47" i="10" s="1"/>
  <c r="I47" i="10" s="1"/>
  <c r="J47" i="10" s="1"/>
  <c r="C46" i="10"/>
  <c r="D46" i="10" s="1"/>
  <c r="E46" i="10" s="1"/>
  <c r="F46" i="10" s="1"/>
  <c r="G46" i="10" s="1"/>
  <c r="H46" i="10" s="1"/>
  <c r="I46" i="10" s="1"/>
  <c r="J46" i="10" s="1"/>
  <c r="C45" i="10"/>
  <c r="D45" i="10" s="1"/>
  <c r="E45" i="10" s="1"/>
  <c r="F45" i="10" s="1"/>
  <c r="G45" i="10" s="1"/>
  <c r="H45" i="10" s="1"/>
  <c r="I45" i="10" s="1"/>
  <c r="J45" i="10" s="1"/>
  <c r="C44" i="10"/>
  <c r="D44" i="10" s="1"/>
  <c r="E44" i="10" s="1"/>
  <c r="F44" i="10" s="1"/>
  <c r="G44" i="10" s="1"/>
  <c r="H44" i="10" s="1"/>
  <c r="I44" i="10" s="1"/>
  <c r="J44" i="10" s="1"/>
  <c r="C58" i="9"/>
  <c r="J54" i="9" s="1"/>
  <c r="C53" i="9"/>
  <c r="C52" i="9"/>
  <c r="D52" i="9" s="1"/>
  <c r="E52" i="9" s="1"/>
  <c r="F52" i="9" s="1"/>
  <c r="G52" i="9" s="1"/>
  <c r="H52" i="9" s="1"/>
  <c r="I52" i="9" s="1"/>
  <c r="C51" i="9"/>
  <c r="D51" i="9" s="1"/>
  <c r="E51" i="9" s="1"/>
  <c r="F51" i="9" s="1"/>
  <c r="G51" i="9" s="1"/>
  <c r="H51" i="9" s="1"/>
  <c r="I51" i="9" s="1"/>
  <c r="C50" i="9"/>
  <c r="D50" i="9" s="1"/>
  <c r="E50" i="9" s="1"/>
  <c r="F50" i="9" s="1"/>
  <c r="G50" i="9" s="1"/>
  <c r="H50" i="9" s="1"/>
  <c r="I50" i="9" s="1"/>
  <c r="C49" i="9"/>
  <c r="D49" i="9" s="1"/>
  <c r="E49" i="9" s="1"/>
  <c r="F49" i="9" s="1"/>
  <c r="G49" i="9" s="1"/>
  <c r="H49" i="9" s="1"/>
  <c r="I49" i="9" s="1"/>
  <c r="C48" i="9"/>
  <c r="D48" i="9" s="1"/>
  <c r="E48" i="9" s="1"/>
  <c r="F48" i="9" s="1"/>
  <c r="G48" i="9" s="1"/>
  <c r="H48" i="9" s="1"/>
  <c r="I48" i="9" s="1"/>
  <c r="J48" i="9" s="1"/>
  <c r="C47" i="9"/>
  <c r="D47" i="9" s="1"/>
  <c r="E47" i="9" s="1"/>
  <c r="F47" i="9" s="1"/>
  <c r="G47" i="9" s="1"/>
  <c r="H47" i="9" s="1"/>
  <c r="I47" i="9" s="1"/>
  <c r="C46" i="9"/>
  <c r="D46" i="9" s="1"/>
  <c r="E46" i="9" s="1"/>
  <c r="F46" i="9" s="1"/>
  <c r="G46" i="9" s="1"/>
  <c r="H46" i="9" s="1"/>
  <c r="I46" i="9" s="1"/>
  <c r="J46" i="9" s="1"/>
  <c r="C45" i="9"/>
  <c r="D45" i="9" s="1"/>
  <c r="E45" i="9" s="1"/>
  <c r="F45" i="9" s="1"/>
  <c r="G45" i="9" s="1"/>
  <c r="H45" i="9" s="1"/>
  <c r="I45" i="9" s="1"/>
  <c r="J45" i="9" s="1"/>
  <c r="C44" i="9"/>
  <c r="D44" i="9" s="1"/>
  <c r="E44" i="9" s="1"/>
  <c r="F44" i="9" s="1"/>
  <c r="G44" i="9" s="1"/>
  <c r="H44" i="9" s="1"/>
  <c r="I44" i="9" s="1"/>
  <c r="C66" i="8"/>
  <c r="C58" i="8"/>
  <c r="C66" i="7"/>
  <c r="C51" i="7" s="1"/>
  <c r="D51" i="7" s="1"/>
  <c r="E51" i="7" s="1"/>
  <c r="F51" i="7" s="1"/>
  <c r="G51" i="7" s="1"/>
  <c r="H51" i="7" s="1"/>
  <c r="I51" i="7" s="1"/>
  <c r="J51" i="7" s="1"/>
  <c r="C58" i="7"/>
  <c r="C58" i="6"/>
  <c r="J54" i="6" s="1"/>
  <c r="C53" i="6"/>
  <c r="C52" i="6"/>
  <c r="D52" i="6" s="1"/>
  <c r="E52" i="6" s="1"/>
  <c r="F52" i="6" s="1"/>
  <c r="G52" i="6" s="1"/>
  <c r="H52" i="6" s="1"/>
  <c r="I52" i="6" s="1"/>
  <c r="C51" i="6"/>
  <c r="D51" i="6" s="1"/>
  <c r="E51" i="6" s="1"/>
  <c r="F51" i="6" s="1"/>
  <c r="G51" i="6" s="1"/>
  <c r="H51" i="6" s="1"/>
  <c r="I51" i="6" s="1"/>
  <c r="C50" i="6"/>
  <c r="D50" i="6" s="1"/>
  <c r="E50" i="6" s="1"/>
  <c r="F50" i="6" s="1"/>
  <c r="G50" i="6" s="1"/>
  <c r="H50" i="6" s="1"/>
  <c r="I50" i="6" s="1"/>
  <c r="C49" i="6"/>
  <c r="D49" i="6" s="1"/>
  <c r="E49" i="6" s="1"/>
  <c r="F49" i="6" s="1"/>
  <c r="G49" i="6" s="1"/>
  <c r="H49" i="6" s="1"/>
  <c r="I49" i="6" s="1"/>
  <c r="C48" i="6"/>
  <c r="D48" i="6" s="1"/>
  <c r="E48" i="6" s="1"/>
  <c r="F48" i="6" s="1"/>
  <c r="G48" i="6" s="1"/>
  <c r="H48" i="6" s="1"/>
  <c r="I48" i="6" s="1"/>
  <c r="C47" i="6"/>
  <c r="D47" i="6" s="1"/>
  <c r="E47" i="6" s="1"/>
  <c r="F47" i="6" s="1"/>
  <c r="G47" i="6" s="1"/>
  <c r="H47" i="6" s="1"/>
  <c r="I47" i="6" s="1"/>
  <c r="C46" i="6"/>
  <c r="D46" i="6" s="1"/>
  <c r="E46" i="6" s="1"/>
  <c r="F46" i="6" s="1"/>
  <c r="G46" i="6" s="1"/>
  <c r="H46" i="6" s="1"/>
  <c r="I46" i="6" s="1"/>
  <c r="J46" i="6" s="1"/>
  <c r="C45" i="6"/>
  <c r="D45" i="6" s="1"/>
  <c r="E45" i="6" s="1"/>
  <c r="F45" i="6" s="1"/>
  <c r="G45" i="6" s="1"/>
  <c r="H45" i="6" s="1"/>
  <c r="I45" i="6" s="1"/>
  <c r="C44" i="6"/>
  <c r="D44" i="6" s="1"/>
  <c r="E44" i="6" s="1"/>
  <c r="F44" i="6" s="1"/>
  <c r="G44" i="6" s="1"/>
  <c r="H44" i="6" s="1"/>
  <c r="I44" i="6" s="1"/>
  <c r="C58" i="5"/>
  <c r="J54" i="5" s="1"/>
  <c r="C53" i="5"/>
  <c r="C52" i="5"/>
  <c r="D52" i="5" s="1"/>
  <c r="E52" i="5" s="1"/>
  <c r="F52" i="5" s="1"/>
  <c r="G52" i="5" s="1"/>
  <c r="H52" i="5" s="1"/>
  <c r="I52" i="5" s="1"/>
  <c r="C51" i="5"/>
  <c r="D51" i="5" s="1"/>
  <c r="E51" i="5" s="1"/>
  <c r="F51" i="5" s="1"/>
  <c r="G51" i="5" s="1"/>
  <c r="H51" i="5" s="1"/>
  <c r="I51" i="5" s="1"/>
  <c r="J51" i="5" s="1"/>
  <c r="C50" i="5"/>
  <c r="D50" i="5" s="1"/>
  <c r="E50" i="5" s="1"/>
  <c r="F50" i="5" s="1"/>
  <c r="G50" i="5" s="1"/>
  <c r="H50" i="5" s="1"/>
  <c r="I50" i="5" s="1"/>
  <c r="J50" i="5" s="1"/>
  <c r="F49" i="5"/>
  <c r="G49" i="5" s="1"/>
  <c r="H49" i="5" s="1"/>
  <c r="I49" i="5" s="1"/>
  <c r="J49" i="5" s="1"/>
  <c r="C49" i="5"/>
  <c r="D49" i="5" s="1"/>
  <c r="E49" i="5" s="1"/>
  <c r="C48" i="5"/>
  <c r="D48" i="5" s="1"/>
  <c r="E48" i="5" s="1"/>
  <c r="F48" i="5" s="1"/>
  <c r="G48" i="5" s="1"/>
  <c r="H48" i="5" s="1"/>
  <c r="I48" i="5" s="1"/>
  <c r="C47" i="5"/>
  <c r="D47" i="5" s="1"/>
  <c r="E47" i="5" s="1"/>
  <c r="F47" i="5" s="1"/>
  <c r="G47" i="5" s="1"/>
  <c r="H47" i="5" s="1"/>
  <c r="I47" i="5" s="1"/>
  <c r="J47" i="5" s="1"/>
  <c r="C46" i="5"/>
  <c r="D46" i="5" s="1"/>
  <c r="E46" i="5" s="1"/>
  <c r="F46" i="5" s="1"/>
  <c r="G46" i="5" s="1"/>
  <c r="H46" i="5" s="1"/>
  <c r="I46" i="5" s="1"/>
  <c r="C45" i="5"/>
  <c r="D45" i="5" s="1"/>
  <c r="E45" i="5" s="1"/>
  <c r="F45" i="5" s="1"/>
  <c r="G45" i="5" s="1"/>
  <c r="H45" i="5" s="1"/>
  <c r="I45" i="5" s="1"/>
  <c r="C44" i="5"/>
  <c r="D44" i="5" s="1"/>
  <c r="E44" i="5" s="1"/>
  <c r="F44" i="5" s="1"/>
  <c r="G44" i="5" s="1"/>
  <c r="H44" i="5" s="1"/>
  <c r="I44" i="5" s="1"/>
  <c r="J44" i="5" s="1"/>
  <c r="C58" i="4"/>
  <c r="J54" i="4" s="1"/>
  <c r="C53" i="4"/>
  <c r="C52" i="4"/>
  <c r="D52" i="4" s="1"/>
  <c r="E52" i="4" s="1"/>
  <c r="F52" i="4" s="1"/>
  <c r="G52" i="4" s="1"/>
  <c r="H52" i="4" s="1"/>
  <c r="I52" i="4" s="1"/>
  <c r="C51" i="4"/>
  <c r="D51" i="4" s="1"/>
  <c r="E51" i="4" s="1"/>
  <c r="F51" i="4" s="1"/>
  <c r="G51" i="4" s="1"/>
  <c r="H51" i="4" s="1"/>
  <c r="I51" i="4" s="1"/>
  <c r="C50" i="4"/>
  <c r="D50" i="4" s="1"/>
  <c r="E50" i="4" s="1"/>
  <c r="F50" i="4" s="1"/>
  <c r="G50" i="4" s="1"/>
  <c r="H50" i="4" s="1"/>
  <c r="I50" i="4" s="1"/>
  <c r="C49" i="4"/>
  <c r="D49" i="4" s="1"/>
  <c r="E49" i="4" s="1"/>
  <c r="F49" i="4" s="1"/>
  <c r="G49" i="4" s="1"/>
  <c r="H49" i="4" s="1"/>
  <c r="I49" i="4" s="1"/>
  <c r="C48" i="4"/>
  <c r="D48" i="4" s="1"/>
  <c r="E48" i="4" s="1"/>
  <c r="F48" i="4" s="1"/>
  <c r="G48" i="4" s="1"/>
  <c r="H48" i="4" s="1"/>
  <c r="I48" i="4" s="1"/>
  <c r="C47" i="4"/>
  <c r="D47" i="4" s="1"/>
  <c r="E47" i="4" s="1"/>
  <c r="F47" i="4" s="1"/>
  <c r="G47" i="4" s="1"/>
  <c r="H47" i="4" s="1"/>
  <c r="I47" i="4" s="1"/>
  <c r="C46" i="4"/>
  <c r="D46" i="4" s="1"/>
  <c r="E46" i="4" s="1"/>
  <c r="F46" i="4" s="1"/>
  <c r="G46" i="4" s="1"/>
  <c r="H46" i="4" s="1"/>
  <c r="I46" i="4" s="1"/>
  <c r="J46" i="4" s="1"/>
  <c r="C45" i="4"/>
  <c r="D45" i="4" s="1"/>
  <c r="E45" i="4" s="1"/>
  <c r="F45" i="4" s="1"/>
  <c r="G45" i="4" s="1"/>
  <c r="H45" i="4" s="1"/>
  <c r="I45" i="4" s="1"/>
  <c r="J45" i="4" s="1"/>
  <c r="C44" i="4"/>
  <c r="D44" i="4" s="1"/>
  <c r="E44" i="4" s="1"/>
  <c r="F44" i="4" s="1"/>
  <c r="G44" i="4" s="1"/>
  <c r="H44" i="4" s="1"/>
  <c r="I44" i="4" s="1"/>
  <c r="C58" i="3"/>
  <c r="J54" i="3" s="1"/>
  <c r="C53" i="3"/>
  <c r="C52" i="3"/>
  <c r="D52" i="3" s="1"/>
  <c r="E52" i="3" s="1"/>
  <c r="F52" i="3" s="1"/>
  <c r="G52" i="3" s="1"/>
  <c r="H52" i="3" s="1"/>
  <c r="I52" i="3" s="1"/>
  <c r="C51" i="3"/>
  <c r="D51" i="3" s="1"/>
  <c r="E51" i="3" s="1"/>
  <c r="F51" i="3" s="1"/>
  <c r="G51" i="3" s="1"/>
  <c r="H51" i="3" s="1"/>
  <c r="I51" i="3" s="1"/>
  <c r="J51" i="3" s="1"/>
  <c r="C50" i="3"/>
  <c r="D50" i="3" s="1"/>
  <c r="E50" i="3" s="1"/>
  <c r="F50" i="3" s="1"/>
  <c r="G50" i="3" s="1"/>
  <c r="H50" i="3" s="1"/>
  <c r="I50" i="3" s="1"/>
  <c r="J50" i="3" s="1"/>
  <c r="C49" i="3"/>
  <c r="D49" i="3" s="1"/>
  <c r="E49" i="3" s="1"/>
  <c r="F49" i="3" s="1"/>
  <c r="G49" i="3" s="1"/>
  <c r="H49" i="3" s="1"/>
  <c r="I49" i="3" s="1"/>
  <c r="J49" i="3" s="1"/>
  <c r="C48" i="3"/>
  <c r="D48" i="3" s="1"/>
  <c r="E48" i="3" s="1"/>
  <c r="F48" i="3" s="1"/>
  <c r="G48" i="3" s="1"/>
  <c r="H48" i="3" s="1"/>
  <c r="I48" i="3" s="1"/>
  <c r="J48" i="3" s="1"/>
  <c r="C47" i="3"/>
  <c r="D47" i="3" s="1"/>
  <c r="E47" i="3" s="1"/>
  <c r="F47" i="3" s="1"/>
  <c r="G47" i="3" s="1"/>
  <c r="H47" i="3" s="1"/>
  <c r="I47" i="3" s="1"/>
  <c r="C46" i="3"/>
  <c r="D46" i="3" s="1"/>
  <c r="E46" i="3" s="1"/>
  <c r="F46" i="3" s="1"/>
  <c r="G46" i="3" s="1"/>
  <c r="H46" i="3" s="1"/>
  <c r="I46" i="3" s="1"/>
  <c r="J46" i="3" s="1"/>
  <c r="C45" i="3"/>
  <c r="D45" i="3" s="1"/>
  <c r="E45" i="3" s="1"/>
  <c r="F45" i="3" s="1"/>
  <c r="G45" i="3" s="1"/>
  <c r="H45" i="3" s="1"/>
  <c r="I45" i="3" s="1"/>
  <c r="J45" i="3" s="1"/>
  <c r="C44" i="3"/>
  <c r="D44" i="3" s="1"/>
  <c r="E44" i="3" s="1"/>
  <c r="F44" i="3" s="1"/>
  <c r="G44" i="3" s="1"/>
  <c r="H44" i="3" s="1"/>
  <c r="I44" i="3" s="1"/>
  <c r="C44" i="7" l="1"/>
  <c r="D44" i="7" s="1"/>
  <c r="E44" i="7" s="1"/>
  <c r="F44" i="7" s="1"/>
  <c r="G44" i="7" s="1"/>
  <c r="H44" i="7" s="1"/>
  <c r="I44" i="7" s="1"/>
  <c r="J44" i="7" s="1"/>
  <c r="J48" i="4"/>
  <c r="J45" i="5"/>
  <c r="J52" i="5"/>
  <c r="J49" i="6"/>
  <c r="C47" i="7"/>
  <c r="D47" i="7" s="1"/>
  <c r="E47" i="7" s="1"/>
  <c r="F47" i="7" s="1"/>
  <c r="G47" i="7" s="1"/>
  <c r="H47" i="7" s="1"/>
  <c r="I47" i="7" s="1"/>
  <c r="J47" i="7" s="1"/>
  <c r="C45" i="8"/>
  <c r="D45" i="8" s="1"/>
  <c r="E45" i="8" s="1"/>
  <c r="F45" i="8" s="1"/>
  <c r="G45" i="8" s="1"/>
  <c r="H45" i="8" s="1"/>
  <c r="I45" i="8" s="1"/>
  <c r="C54" i="8"/>
  <c r="J44" i="3"/>
  <c r="J52" i="3"/>
  <c r="J49" i="4"/>
  <c r="J46" i="5"/>
  <c r="C48" i="7"/>
  <c r="D48" i="7" s="1"/>
  <c r="E48" i="7" s="1"/>
  <c r="F48" i="7" s="1"/>
  <c r="G48" i="7" s="1"/>
  <c r="H48" i="7" s="1"/>
  <c r="I48" i="7" s="1"/>
  <c r="J48" i="7" s="1"/>
  <c r="J44" i="9"/>
  <c r="C50" i="7"/>
  <c r="D50" i="7" s="1"/>
  <c r="E50" i="7" s="1"/>
  <c r="F50" i="7" s="1"/>
  <c r="G50" i="7" s="1"/>
  <c r="H50" i="7" s="1"/>
  <c r="I50" i="7" s="1"/>
  <c r="J50" i="7" s="1"/>
  <c r="J47" i="6"/>
  <c r="J48" i="6"/>
  <c r="J44" i="6"/>
  <c r="C52" i="7"/>
  <c r="D52" i="7" s="1"/>
  <c r="E52" i="7" s="1"/>
  <c r="F52" i="7" s="1"/>
  <c r="G52" i="7" s="1"/>
  <c r="H52" i="7" s="1"/>
  <c r="I52" i="7" s="1"/>
  <c r="J52" i="7" s="1"/>
  <c r="C54" i="7"/>
  <c r="J47" i="4"/>
  <c r="C45" i="7"/>
  <c r="D45" i="7" s="1"/>
  <c r="E45" i="7" s="1"/>
  <c r="F45" i="7" s="1"/>
  <c r="G45" i="7" s="1"/>
  <c r="H45" i="7" s="1"/>
  <c r="I45" i="7" s="1"/>
  <c r="J45" i="7" s="1"/>
  <c r="J50" i="4"/>
  <c r="J51" i="4"/>
  <c r="J48" i="5"/>
  <c r="J52" i="6"/>
  <c r="J47" i="3"/>
  <c r="J44" i="4"/>
  <c r="J52" i="4"/>
  <c r="J45" i="6"/>
  <c r="C53" i="7"/>
  <c r="J51" i="9"/>
  <c r="D30" i="14"/>
  <c r="D30" i="15"/>
  <c r="D30" i="12"/>
  <c r="J50" i="6"/>
  <c r="J49" i="9"/>
  <c r="D53" i="10"/>
  <c r="E53" i="10" s="1"/>
  <c r="F53" i="10" s="1"/>
  <c r="G53" i="10" s="1"/>
  <c r="H53" i="10" s="1"/>
  <c r="I53" i="10" s="1"/>
  <c r="J53" i="10" s="1"/>
  <c r="H28" i="16"/>
  <c r="D33" i="15" s="1"/>
  <c r="D59" i="17"/>
  <c r="D65" i="11"/>
  <c r="J47" i="9"/>
  <c r="D18" i="12"/>
  <c r="D32" i="13"/>
  <c r="D32" i="15"/>
  <c r="J45" i="8"/>
  <c r="J51" i="6"/>
  <c r="D53" i="5"/>
  <c r="E53" i="5" s="1"/>
  <c r="F53" i="5" s="1"/>
  <c r="G53" i="5" s="1"/>
  <c r="H53" i="5" s="1"/>
  <c r="I53" i="5" s="1"/>
  <c r="J53" i="5" s="1"/>
  <c r="C48" i="8"/>
  <c r="D48" i="8" s="1"/>
  <c r="E48" i="8" s="1"/>
  <c r="F48" i="8" s="1"/>
  <c r="G48" i="8" s="1"/>
  <c r="H48" i="8" s="1"/>
  <c r="I48" i="8" s="1"/>
  <c r="J48" i="8" s="1"/>
  <c r="J50" i="9"/>
  <c r="J52" i="9"/>
  <c r="D27" i="13"/>
  <c r="D77" i="17"/>
  <c r="D32" i="12"/>
  <c r="D22" i="15"/>
  <c r="D22" i="12"/>
  <c r="D22" i="14"/>
  <c r="D22" i="13"/>
  <c r="D33" i="14"/>
  <c r="D33" i="13"/>
  <c r="D59" i="11"/>
  <c r="D53" i="3"/>
  <c r="E53" i="3" s="1"/>
  <c r="F53" i="3" s="1"/>
  <c r="G53" i="3" s="1"/>
  <c r="H53" i="3" s="1"/>
  <c r="I53" i="3" s="1"/>
  <c r="J53" i="3" s="1"/>
  <c r="D21" i="15"/>
  <c r="D21" i="13"/>
  <c r="D28" i="13"/>
  <c r="D28" i="12"/>
  <c r="D28" i="15"/>
  <c r="D9" i="14"/>
  <c r="D9" i="13"/>
  <c r="D9" i="15"/>
  <c r="D21" i="21"/>
  <c r="D21" i="20"/>
  <c r="D21" i="18"/>
  <c r="D18" i="21"/>
  <c r="D18" i="19"/>
  <c r="D18" i="18"/>
  <c r="D28" i="14"/>
  <c r="D18" i="20"/>
  <c r="D53" i="7"/>
  <c r="E53" i="7" s="1"/>
  <c r="F53" i="7" s="1"/>
  <c r="G53" i="7" s="1"/>
  <c r="H53" i="7" s="1"/>
  <c r="I53" i="7" s="1"/>
  <c r="J53" i="7" s="1"/>
  <c r="D9" i="20"/>
  <c r="D9" i="21"/>
  <c r="D9" i="19"/>
  <c r="D9" i="18"/>
  <c r="C53" i="8"/>
  <c r="C50" i="8"/>
  <c r="D50" i="8" s="1"/>
  <c r="E50" i="8" s="1"/>
  <c r="F50" i="8" s="1"/>
  <c r="G50" i="8" s="1"/>
  <c r="H50" i="8" s="1"/>
  <c r="I50" i="8" s="1"/>
  <c r="J50" i="8" s="1"/>
  <c r="C47" i="8"/>
  <c r="D47" i="8" s="1"/>
  <c r="E47" i="8" s="1"/>
  <c r="F47" i="8" s="1"/>
  <c r="G47" i="8" s="1"/>
  <c r="H47" i="8" s="1"/>
  <c r="I47" i="8" s="1"/>
  <c r="J47" i="8" s="1"/>
  <c r="C44" i="8"/>
  <c r="D44" i="8" s="1"/>
  <c r="E44" i="8" s="1"/>
  <c r="F44" i="8" s="1"/>
  <c r="G44" i="8" s="1"/>
  <c r="H44" i="8" s="1"/>
  <c r="I44" i="8" s="1"/>
  <c r="J44" i="8" s="1"/>
  <c r="C52" i="8"/>
  <c r="D52" i="8" s="1"/>
  <c r="E52" i="8" s="1"/>
  <c r="F52" i="8" s="1"/>
  <c r="G52" i="8" s="1"/>
  <c r="H52" i="8" s="1"/>
  <c r="I52" i="8" s="1"/>
  <c r="J52" i="8" s="1"/>
  <c r="C51" i="8"/>
  <c r="D51" i="8" s="1"/>
  <c r="E51" i="8" s="1"/>
  <c r="F51" i="8" s="1"/>
  <c r="G51" i="8" s="1"/>
  <c r="H51" i="8" s="1"/>
  <c r="I51" i="8" s="1"/>
  <c r="J51" i="8" s="1"/>
  <c r="D30" i="20"/>
  <c r="D30" i="21"/>
  <c r="D30" i="19"/>
  <c r="D28" i="18"/>
  <c r="D28" i="20"/>
  <c r="D30" i="18"/>
  <c r="D53" i="6"/>
  <c r="E53" i="6" s="1"/>
  <c r="F53" i="6" s="1"/>
  <c r="G53" i="6" s="1"/>
  <c r="H53" i="6" s="1"/>
  <c r="I53" i="6" s="1"/>
  <c r="J53" i="6" s="1"/>
  <c r="D65" i="17"/>
  <c r="C49" i="8"/>
  <c r="D49" i="8" s="1"/>
  <c r="E49" i="8" s="1"/>
  <c r="F49" i="8" s="1"/>
  <c r="G49" i="8" s="1"/>
  <c r="H49" i="8" s="1"/>
  <c r="I49" i="8" s="1"/>
  <c r="J49" i="8" s="1"/>
  <c r="D53" i="4"/>
  <c r="E53" i="4" s="1"/>
  <c r="F53" i="4" s="1"/>
  <c r="G53" i="4" s="1"/>
  <c r="H53" i="4" s="1"/>
  <c r="I53" i="4" s="1"/>
  <c r="J53" i="4" s="1"/>
  <c r="C46" i="8"/>
  <c r="D46" i="8" s="1"/>
  <c r="E46" i="8" s="1"/>
  <c r="F46" i="8" s="1"/>
  <c r="G46" i="8" s="1"/>
  <c r="H46" i="8" s="1"/>
  <c r="I46" i="8" s="1"/>
  <c r="J46" i="8" s="1"/>
  <c r="D9" i="12"/>
  <c r="D21" i="19"/>
  <c r="D21" i="14"/>
  <c r="D21" i="12"/>
  <c r="D53" i="9"/>
  <c r="E53" i="9" s="1"/>
  <c r="F53" i="9" s="1"/>
  <c r="G53" i="9" s="1"/>
  <c r="H53" i="9" s="1"/>
  <c r="I53" i="9" s="1"/>
  <c r="J53" i="9" s="1"/>
  <c r="D77" i="11"/>
  <c r="D27" i="19"/>
  <c r="D27" i="21"/>
  <c r="D27" i="18"/>
  <c r="D18" i="14"/>
  <c r="D32" i="21"/>
  <c r="D32" i="20"/>
  <c r="H28" i="22"/>
  <c r="D33" i="19" s="1"/>
  <c r="D32" i="19"/>
  <c r="C46" i="7"/>
  <c r="D46" i="7" s="1"/>
  <c r="E46" i="7" s="1"/>
  <c r="F46" i="7" s="1"/>
  <c r="G46" i="7" s="1"/>
  <c r="H46" i="7" s="1"/>
  <c r="I46" i="7" s="1"/>
  <c r="J46" i="7" s="1"/>
  <c r="C49" i="7"/>
  <c r="D49" i="7" s="1"/>
  <c r="E49" i="7" s="1"/>
  <c r="F49" i="7" s="1"/>
  <c r="G49" i="7" s="1"/>
  <c r="H49" i="7" s="1"/>
  <c r="I49" i="7" s="1"/>
  <c r="J49" i="7" s="1"/>
  <c r="D28" i="19"/>
  <c r="D27" i="12"/>
  <c r="D30" i="13"/>
  <c r="D27" i="15"/>
  <c r="D22" i="20"/>
  <c r="D22" i="18"/>
  <c r="D33" i="21" l="1"/>
  <c r="D70" i="17"/>
  <c r="D54" i="8"/>
  <c r="E54" i="8" s="1"/>
  <c r="F54" i="8" s="1"/>
  <c r="G54" i="8" s="1"/>
  <c r="H54" i="8" s="1"/>
  <c r="I54" i="8" s="1"/>
  <c r="J54" i="8" s="1"/>
  <c r="D36" i="21"/>
  <c r="D79" i="17" s="1"/>
  <c r="D33" i="12"/>
  <c r="D54" i="7"/>
  <c r="E54" i="7" s="1"/>
  <c r="F54" i="7" s="1"/>
  <c r="G54" i="7" s="1"/>
  <c r="H54" i="7" s="1"/>
  <c r="I54" i="7" s="1"/>
  <c r="J54" i="7" s="1"/>
  <c r="D70" i="11"/>
  <c r="D71" i="11" s="1"/>
  <c r="D36" i="14"/>
  <c r="D73" i="11" s="1"/>
  <c r="K52" i="7" s="1"/>
  <c r="D36" i="15"/>
  <c r="D79" i="11" s="1"/>
  <c r="D33" i="18"/>
  <c r="D36" i="18" s="1"/>
  <c r="D61" i="17" s="1"/>
  <c r="K54" i="4" s="1"/>
  <c r="D36" i="13"/>
  <c r="D67" i="11" s="1"/>
  <c r="K54" i="5" s="1"/>
  <c r="K45" i="10"/>
  <c r="K50" i="10"/>
  <c r="D71" i="17"/>
  <c r="D53" i="8"/>
  <c r="E53" i="8" s="1"/>
  <c r="F53" i="8" s="1"/>
  <c r="G53" i="8" s="1"/>
  <c r="H53" i="8" s="1"/>
  <c r="I53" i="8" s="1"/>
  <c r="J53" i="8" s="1"/>
  <c r="K48" i="10"/>
  <c r="K46" i="10"/>
  <c r="K44" i="10"/>
  <c r="K53" i="10"/>
  <c r="D33" i="20"/>
  <c r="D36" i="20" s="1"/>
  <c r="D73" i="17" s="1"/>
  <c r="D36" i="12"/>
  <c r="D61" i="11" s="1"/>
  <c r="K52" i="10"/>
  <c r="K51" i="10"/>
  <c r="D36" i="19"/>
  <c r="D67" i="17" s="1"/>
  <c r="K54" i="6" s="1"/>
  <c r="K47" i="10"/>
  <c r="K54" i="7" l="1"/>
  <c r="K49" i="10"/>
  <c r="K54" i="10"/>
  <c r="K54" i="8"/>
  <c r="K47" i="9"/>
  <c r="K54" i="9"/>
  <c r="K53" i="3"/>
  <c r="K54" i="3"/>
  <c r="K50" i="9"/>
  <c r="K50" i="7"/>
  <c r="K47" i="7"/>
  <c r="K51" i="7"/>
  <c r="K49" i="7"/>
  <c r="K46" i="7"/>
  <c r="K44" i="4"/>
  <c r="K53" i="4"/>
  <c r="K52" i="4"/>
  <c r="K49" i="4"/>
  <c r="K50" i="4"/>
  <c r="K48" i="4"/>
  <c r="K51" i="4"/>
  <c r="K45" i="4"/>
  <c r="K47" i="4"/>
  <c r="K46" i="4"/>
  <c r="K51" i="9"/>
  <c r="K49" i="9"/>
  <c r="K48" i="7"/>
  <c r="K45" i="9"/>
  <c r="K52" i="9"/>
  <c r="K44" i="7"/>
  <c r="K45" i="7"/>
  <c r="K46" i="9"/>
  <c r="K44" i="9"/>
  <c r="K53" i="9"/>
  <c r="K53" i="7"/>
  <c r="K48" i="9"/>
  <c r="K45" i="8"/>
  <c r="K48" i="8"/>
  <c r="K49" i="8"/>
  <c r="K46" i="8"/>
  <c r="K50" i="8"/>
  <c r="K47" i="8"/>
  <c r="K52" i="8"/>
  <c r="K51" i="8"/>
  <c r="K44" i="8"/>
  <c r="K53" i="8"/>
  <c r="K46" i="6"/>
  <c r="K50" i="6"/>
  <c r="K49" i="6"/>
  <c r="K51" i="6"/>
  <c r="K44" i="6"/>
  <c r="K52" i="6"/>
  <c r="K45" i="6"/>
  <c r="K48" i="6"/>
  <c r="K47" i="6"/>
  <c r="K46" i="5"/>
  <c r="K53" i="5"/>
  <c r="K45" i="5"/>
  <c r="K51" i="5"/>
  <c r="K49" i="5"/>
  <c r="K50" i="5"/>
  <c r="K47" i="5"/>
  <c r="K44" i="5"/>
  <c r="K52" i="5"/>
  <c r="K48" i="5"/>
  <c r="K49" i="3"/>
  <c r="K44" i="3"/>
  <c r="K46" i="3"/>
  <c r="K51" i="3"/>
  <c r="K47" i="3"/>
  <c r="K45" i="3"/>
  <c r="K48" i="3"/>
  <c r="K52" i="3"/>
  <c r="K50" i="3"/>
  <c r="K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2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2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2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2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2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2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2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1" authorId="0" shapeId="0" xr:uid="{00000000-0006-0000-1500-000001000000}">
      <text>
        <r>
          <rPr>
            <b/>
            <sz val="9"/>
            <color rgb="FF000000"/>
            <rFont val="Arial"/>
            <family val="2"/>
          </rPr>
          <t xml:space="preserve">Author:
</t>
        </r>
        <r>
          <rPr>
            <sz val="9"/>
            <color rgb="FF000000"/>
            <rFont val="Arial"/>
            <family val="2"/>
          </rPr>
          <t>Link:</t>
        </r>
        <r>
          <rPr>
            <sz val="9"/>
            <color rgb="FF000000"/>
            <rFont val="Arial"/>
            <family val="2"/>
          </rPr>
          <t xml:space="preserve">
https://www3.epa.gov/carbon-footprint-calculator/tool/userarchiveversion/documents/SubW_Screening_Tool_Onshore_Production.xls</t>
        </r>
      </text>
    </comment>
    <comment ref="D7" authorId="0" shapeId="0" xr:uid="{00000000-0006-0000-1500-000002000000}">
      <text>
        <r>
          <rPr>
            <b/>
            <sz val="9"/>
            <color rgb="FF000000"/>
            <rFont val="Arial"/>
            <family val="2"/>
          </rPr>
          <t xml:space="preserve">Author:
</t>
        </r>
        <r>
          <rPr>
            <sz val="9"/>
            <color rgb="FF000000"/>
            <rFont val="Arial"/>
            <family val="2"/>
          </rPr>
          <t xml:space="preserve">
</t>
        </r>
        <r>
          <rPr>
            <sz val="9"/>
            <color rgb="FF000000"/>
            <rFont val="Arial"/>
            <family val="2"/>
          </rPr>
          <t xml:space="preserve">
(525000+455015) = well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3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3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3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3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3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3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3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4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4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4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4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4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4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4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5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5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5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5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5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5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5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6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6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6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6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6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6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6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3" authorId="0" shapeId="0" xr:uid="{00000000-0006-0000-0700-000001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700-000002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700-000003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700-000004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700-000005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700-000006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700-000007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C3" authorId="0" shapeId="0" xr:uid="{00000000-0006-0000-0800-000001000000}">
      <text>
        <r>
          <rPr>
            <b/>
            <sz val="9"/>
            <color rgb="FF000000"/>
            <rFont val="Arial"/>
            <family val="2"/>
          </rPr>
          <t xml:space="preserve">Author:
</t>
        </r>
        <r>
          <rPr>
            <sz val="9"/>
            <color rgb="FF000000"/>
            <rFont val="Arial"/>
            <family val="2"/>
          </rPr>
          <t>67% of MD NG Consumption Produced by Fracking in PA</t>
        </r>
      </text>
    </comment>
    <comment ref="D3" authorId="0" shapeId="0" xr:uid="{00000000-0006-0000-0800-000002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800-000003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800-000004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800-000005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800-000006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800-000007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800-000008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C3" authorId="0" shapeId="0" xr:uid="{00000000-0006-0000-0900-000001000000}">
      <text>
        <r>
          <rPr>
            <b/>
            <sz val="9"/>
            <color rgb="FF000000"/>
            <rFont val="Arial"/>
            <family val="2"/>
          </rPr>
          <t xml:space="preserve">Author:
</t>
        </r>
        <r>
          <rPr>
            <sz val="9"/>
            <color rgb="FF000000"/>
            <rFont val="Arial"/>
            <family val="2"/>
          </rPr>
          <t>67% of MD NG Consumption Produced by Fracking in PA</t>
        </r>
      </text>
    </comment>
    <comment ref="D3" authorId="0" shapeId="0" xr:uid="{00000000-0006-0000-0900-000002000000}">
      <text>
        <r>
          <rPr>
            <b/>
            <sz val="9"/>
            <color rgb="FF000000"/>
            <rFont val="Arial"/>
            <family val="2"/>
          </rPr>
          <t xml:space="preserve">Author:
</t>
        </r>
        <r>
          <rPr>
            <sz val="9"/>
            <color rgb="FF000000"/>
            <rFont val="Arial"/>
            <family val="2"/>
          </rPr>
          <t>CF of NG Consumed in MD and Produced by Fracking in PA</t>
        </r>
      </text>
    </comment>
    <comment ref="E3" authorId="0" shapeId="0" xr:uid="{00000000-0006-0000-0900-000003000000}">
      <text>
        <r>
          <rPr>
            <b/>
            <sz val="9"/>
            <color rgb="FF000000"/>
            <rFont val="Arial"/>
            <family val="2"/>
          </rPr>
          <t xml:space="preserve">Author:
</t>
        </r>
        <r>
          <rPr>
            <sz val="9"/>
            <color rgb="FF000000"/>
            <rFont val="Arial"/>
            <family val="2"/>
          </rPr>
          <t>Conversion of NG from Cubic Feet to Metric Tonnes</t>
        </r>
        <r>
          <rPr>
            <sz val="9"/>
            <color rgb="FF000000"/>
            <rFont val="Arial"/>
            <family val="2"/>
          </rPr>
          <t xml:space="preserve">
</t>
        </r>
      </text>
    </comment>
    <comment ref="F3" authorId="0" shapeId="0" xr:uid="{00000000-0006-0000-0900-000004000000}">
      <text>
        <r>
          <rPr>
            <b/>
            <sz val="9"/>
            <color rgb="FF000000"/>
            <rFont val="Arial"/>
            <family val="2"/>
          </rPr>
          <t xml:space="preserve">Author:
</t>
        </r>
        <r>
          <rPr>
            <sz val="9"/>
            <color rgb="FF000000"/>
            <rFont val="Arial"/>
            <family val="2"/>
          </rPr>
          <t>Metric Tonnes of NG Leaked using a Leakage Rate of 2.5%</t>
        </r>
      </text>
    </comment>
    <comment ref="G3" authorId="0" shapeId="0" xr:uid="{00000000-0006-0000-0900-000005000000}">
      <text>
        <r>
          <rPr>
            <b/>
            <sz val="9"/>
            <color rgb="FF000000"/>
            <rFont val="Arial"/>
            <family val="2"/>
          </rPr>
          <t xml:space="preserve">Author:
</t>
        </r>
        <r>
          <rPr>
            <sz val="9"/>
            <color rgb="FF000000"/>
            <rFont val="Arial"/>
            <family val="2"/>
          </rPr>
          <t>Metric Tonnes of METHANE Leaked using 98% or NG is Methane</t>
        </r>
        <r>
          <rPr>
            <sz val="9"/>
            <color rgb="FF000000"/>
            <rFont val="Arial"/>
            <family val="2"/>
          </rPr>
          <t xml:space="preserve">
</t>
        </r>
      </text>
    </comment>
    <comment ref="H3" authorId="0" shapeId="0" xr:uid="{00000000-0006-0000-0900-000006000000}">
      <text>
        <r>
          <rPr>
            <b/>
            <sz val="9"/>
            <color rgb="FF000000"/>
            <rFont val="Arial"/>
            <family val="2"/>
          </rPr>
          <t xml:space="preserve">Author:
</t>
        </r>
        <r>
          <rPr>
            <sz val="9"/>
            <color rgb="FF000000"/>
            <rFont val="Arial"/>
            <family val="2"/>
          </rPr>
          <t>Conversion of Metric Tonnes of Methane to Metric Tonnes of CO2E using Methane GWP of 25</t>
        </r>
      </text>
    </comment>
    <comment ref="I3" authorId="0" shapeId="0" xr:uid="{00000000-0006-0000-0900-000007000000}">
      <text>
        <r>
          <rPr>
            <b/>
            <sz val="9"/>
            <color rgb="FF000000"/>
            <rFont val="Arial"/>
            <family val="2"/>
          </rPr>
          <t xml:space="preserve">Author:
</t>
        </r>
        <r>
          <rPr>
            <sz val="9"/>
            <color rgb="FF000000"/>
            <rFont val="Arial"/>
            <family val="2"/>
          </rPr>
          <t>Conversion of Metric Tonnes to Million Metric Tonnes Divide by 1,000,000</t>
        </r>
      </text>
    </comment>
    <comment ref="J3" authorId="0" shapeId="0" xr:uid="{00000000-0006-0000-0900-000008000000}">
      <text>
        <r>
          <rPr>
            <b/>
            <sz val="9"/>
            <color rgb="FF000000"/>
            <rFont val="Arial"/>
            <family val="2"/>
          </rPr>
          <t xml:space="preserve">Author:
</t>
        </r>
        <r>
          <rPr>
            <sz val="9"/>
            <color rgb="FF000000"/>
            <rFont val="Arial"/>
            <family val="2"/>
          </rPr>
          <t>Conversion of Metric Tonnes to Million Metric Tonnes Divide by 1,000,000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author>
  </authors>
  <commentList>
    <comment ref="D1" authorId="0" shapeId="0" xr:uid="{00000000-0006-0000-0F00-000001000000}">
      <text>
        <r>
          <rPr>
            <b/>
            <sz val="9"/>
            <color rgb="FF000000"/>
            <rFont val="Arial"/>
            <family val="2"/>
          </rPr>
          <t xml:space="preserve">Author:
</t>
        </r>
        <r>
          <rPr>
            <sz val="9"/>
            <color rgb="FF000000"/>
            <rFont val="Arial"/>
            <family val="2"/>
          </rPr>
          <t>Link:</t>
        </r>
        <r>
          <rPr>
            <sz val="9"/>
            <color rgb="FF000000"/>
            <rFont val="Arial"/>
            <family val="2"/>
          </rPr>
          <t xml:space="preserve">
https://www3.epa.gov/carbon-footprint-calculator/tool/userarchiveversion/documents/SubW_Screening_Tool_Onshore_Production.xls</t>
        </r>
      </text>
    </comment>
    <comment ref="D7" authorId="0" shapeId="0" xr:uid="{00000000-0006-0000-0F00-000002000000}">
      <text>
        <r>
          <rPr>
            <b/>
            <sz val="9"/>
            <color rgb="FF000000"/>
            <rFont val="Arial"/>
            <family val="2"/>
          </rPr>
          <t xml:space="preserve">Author:
</t>
        </r>
        <r>
          <rPr>
            <sz val="9"/>
            <color rgb="FF000000"/>
            <rFont val="Arial"/>
            <family val="2"/>
          </rPr>
          <t xml:space="preserve">
</t>
        </r>
        <r>
          <rPr>
            <sz val="9"/>
            <color rgb="FF000000"/>
            <rFont val="Arial"/>
            <family val="2"/>
          </rPr>
          <t xml:space="preserve">
(525000+455015) = well #</t>
        </r>
      </text>
    </comment>
  </commentList>
</comments>
</file>

<file path=xl/sharedStrings.xml><?xml version="1.0" encoding="utf-8"?>
<sst xmlns="http://schemas.openxmlformats.org/spreadsheetml/2006/main" count="1663" uniqueCount="379">
  <si>
    <t>Workbook Contents</t>
  </si>
  <si>
    <t>Maryland Natural Gas Consumption by End Use</t>
  </si>
  <si>
    <t>Click worksheet name or tab at bottom for data</t>
  </si>
  <si>
    <t>Worksheet Name</t>
  </si>
  <si>
    <t>Description</t>
  </si>
  <si>
    <t># Of Series</t>
  </si>
  <si>
    <t>Frequency</t>
  </si>
  <si>
    <t>Latest Data for</t>
  </si>
  <si>
    <t>Data 1</t>
  </si>
  <si>
    <t>Annual</t>
  </si>
  <si>
    <t>6/30/1967</t>
  </si>
  <si>
    <t>Release Date:</t>
  </si>
  <si>
    <t>4/30/2018</t>
  </si>
  <si>
    <t>Next Release Date:</t>
  </si>
  <si>
    <t>5/31/2018</t>
  </si>
  <si>
    <t>Excel File Name:</t>
  </si>
  <si>
    <t>ng_cons_sum_dcu_smd_a.xls</t>
  </si>
  <si>
    <t>Available from Web Page:</t>
  </si>
  <si>
    <t>http://www.eia.gov/dnav/ng/ng_cons_sum_dcu_smd_a.htm</t>
  </si>
  <si>
    <t>Source:</t>
  </si>
  <si>
    <t>Energy Information Administration</t>
  </si>
  <si>
    <t>For Help, Contact:</t>
  </si>
  <si>
    <t>infoctr@eia.gov</t>
  </si>
  <si>
    <t>(202) 586-8800</t>
  </si>
  <si>
    <t>4/27/2018 6:45:02 AM</t>
  </si>
  <si>
    <t>Back to Contents</t>
  </si>
  <si>
    <t>Data 1: Maryland Natural Gas Consumption by End Use</t>
  </si>
  <si>
    <t>Sourcekey</t>
  </si>
  <si>
    <t>NA1490_SMD_2</t>
  </si>
  <si>
    <t>NA1470_SMD_2</t>
  </si>
  <si>
    <t>NA1840_SMD_2</t>
  </si>
  <si>
    <t>NA1480_SMD_2</t>
  </si>
  <si>
    <t>N3060MD2</t>
  </si>
  <si>
    <t>N3010MD2</t>
  </si>
  <si>
    <t>N3020MD2</t>
  </si>
  <si>
    <t>N3035MD2</t>
  </si>
  <si>
    <t>NA1570_SMD_2</t>
  </si>
  <si>
    <t>N3045MD2</t>
  </si>
  <si>
    <t>Date</t>
  </si>
  <si>
    <t>Maryland Natural Gas Total Consumption (MMcf)</t>
  </si>
  <si>
    <t>Maryland Natural Gas Lease and Plant Fuel Consumption (MMcf)</t>
  </si>
  <si>
    <t>Maryland Natural Gas Lease Fuel Consumption (MMcf)</t>
  </si>
  <si>
    <t>Maryland Natural Gas Pipeline and Distribution Use (MMcf)</t>
  </si>
  <si>
    <t>Natural Gas Delivered to Consumers in Maryland (Including Vehicle Fuel) (MMcf)</t>
  </si>
  <si>
    <t>Maryland Natural Gas Residential Consumption (MMcf)</t>
  </si>
  <si>
    <t>Natural Gas Deliveries to Commercial Consumers (Including Vehicle Fuel through 1996) in Maryland (MMcf)</t>
  </si>
  <si>
    <t>Maryland Natural Gas Industrial Consumption (MMcf)</t>
  </si>
  <si>
    <t>Maryland Natural Gas Vehicle Fuel Consumption (MMcf)</t>
  </si>
  <si>
    <t>Maryland Natural Gas Deliveries to Electric Power Consumers (MMcf)</t>
  </si>
  <si>
    <t>Source</t>
  </si>
  <si>
    <t>https://www.google.com/url?sa=t&amp;rct=j&amp;q=&amp;esrc=s&amp;source=web&amp;cd=2&amp;cad=rja&amp;uact=8&amp;ved=0ahUKEwjn3JKn6onPAhUJFh4KHepYCMUQFgg9MAE&amp;url=http%3A%2F%2Fstatic.berkeleyearth.org%2Fmemos%2Fepa-report-reveals-lower-methane-leakage-from-natural-gas.pdf&amp;usg=AFQjCNHAxQ6zsOHb-e-J68zjaf58WdIpJg&amp;bvm=bv.132479545,d.dmo</t>
  </si>
  <si>
    <t>Leakage Rate Percent</t>
  </si>
  <si>
    <t>https://www.edf.org/energy/methaneleakage</t>
  </si>
  <si>
    <t>Liquid density lb/ft^3</t>
  </si>
  <si>
    <t>Global warming potential</t>
  </si>
  <si>
    <t>http://archive.ipcc.ch/publications_and_data/ar4/wg1/en/errataserrata-errata.html#table214</t>
  </si>
  <si>
    <t>NG Conversion</t>
  </si>
  <si>
    <t>cubic feet NG/metric ton NG</t>
  </si>
  <si>
    <t>https://www.extension.iastate.edu/agdm/wholefarm/html/c6-89.html</t>
  </si>
  <si>
    <t>NG CH4 %</t>
  </si>
  <si>
    <t>Percent Methane in Natural Gas</t>
  </si>
  <si>
    <t>http://scifun.chem.wisc.edu/chemweek/methane/methane.html</t>
  </si>
  <si>
    <t>Difference to 2006</t>
  </si>
  <si>
    <t>NG
(cf)</t>
  </si>
  <si>
    <t>metric tonnes NG</t>
  </si>
  <si>
    <t>metric tonnes NG Leaked</t>
  </si>
  <si>
    <t>Metric Tonnes CH4 Leaked</t>
  </si>
  <si>
    <t>Metric Tonnes CH4 Leaked
(CO2E)</t>
  </si>
  <si>
    <t>MMt CO2E</t>
  </si>
  <si>
    <t>MMt CO2E Outside of MD</t>
  </si>
  <si>
    <t>MMtCO2E Sum with Well Construction Emissions</t>
  </si>
  <si>
    <t>MD Total NG Consumption in 2006 was very low.  Using consumption data from 1997 or 2000 (also pre-fracking years) would further reduce the CH4 leakage offset amount</t>
  </si>
  <si>
    <t>Constant Name</t>
  </si>
  <si>
    <t>Constant Value</t>
  </si>
  <si>
    <t>Percentage Double-Counted</t>
  </si>
  <si>
    <t>http://maps.fractracker.org/latest/?webmap=a00c3b5cee4e4fe0b238b5e05ed80204</t>
  </si>
  <si>
    <t>EPA value % CH4 in NG</t>
  </si>
  <si>
    <t>https://www.epa.gov/natural-gas-star-program/overview-oil-and-natural-gas-industry</t>
  </si>
  <si>
    <r>
      <t>In the new report, EDF analyzed methane leaks from Pennsylvania's conventional oil and gas wells, mostly drilled before 2008, and from unconventional wells, those unlocked since then using hydraulic fracturing. There are far more conventional wells than unconventional ones in the state, and because they are older they leak at a much higher rate. Twenty-three percent of methane at a conventional well leaked into the atmosphere compared to</t>
    </r>
    <r>
      <rPr>
        <sz val="10"/>
        <color rgb="FFFF0000"/>
        <rFont val="Arial"/>
        <family val="2"/>
      </rPr>
      <t xml:space="preserve"> 0.3 percent at a fracked well</t>
    </r>
    <r>
      <rPr>
        <sz val="10"/>
        <color theme="1"/>
        <rFont val="Arial"/>
        <family val="2"/>
      </rPr>
      <t>, EDF estimated.</t>
    </r>
  </si>
  <si>
    <t>https://insideclimatenews.org/news/16022018/methane-leaks-oil-natural-gas-data-global-warming-pennsylvania-edf-study</t>
  </si>
  <si>
    <t>(pipeline quality natural gas is 95-98 percent methane).</t>
  </si>
  <si>
    <t>https://archive.ipcc.ch/pdf/assessment-report/ar5/syr/SYR_AR5_FINAL_full_wcover.pdf</t>
  </si>
  <si>
    <t>Average 1997-2005</t>
  </si>
  <si>
    <t>67% of NG from Fracking</t>
  </si>
  <si>
    <t>PENNSYLVANIA NATURAL GAS FRACKING WELLS - WASHINGTON COUNTY - PRODUCTION - 2016</t>
  </si>
  <si>
    <t>Well Name</t>
  </si>
  <si>
    <t>Well Location</t>
  </si>
  <si>
    <t>Well Owner</t>
  </si>
  <si>
    <t>Production
(mcf)Production
(mcf)Production
(mcf)</t>
  </si>
  <si>
    <t>Production
ATW dollars
(market value)Production
ATW dollars
(market value)Production
ATW dollars
(market value)</t>
  </si>
  <si>
    <t>Production
Est. Royalties
(crowd sourced ATW value)Production
Est. Royalties
(crowd sourced ATW value)Production
Est. Royalties
(crowd sourced ATW value)</t>
  </si>
  <si>
    <t>X-MAN 5H</t>
  </si>
  <si>
    <t>Washington County | Amwell Township</t>
  </si>
  <si>
    <t>Gas company: RICE</t>
  </si>
  <si>
    <t>HULK 8H</t>
  </si>
  <si>
    <t>HULK 4H</t>
  </si>
  <si>
    <t>MONO 4H</t>
  </si>
  <si>
    <t>Washington County | North Bethlehem Township</t>
  </si>
  <si>
    <t>BROVA 11H</t>
  </si>
  <si>
    <t>HULK 6H</t>
  </si>
  <si>
    <t>US NATURAL RESOURCES UNIT 10H</t>
  </si>
  <si>
    <t>Washington County | Somerset Township</t>
  </si>
  <si>
    <t>Gas company: RANGE</t>
  </si>
  <si>
    <t>US NATURAL RESOURCES UNIT 8H</t>
  </si>
  <si>
    <t>HAROLD HAYWOOD WAS 3H</t>
  </si>
  <si>
    <t>Washington County | Carroll Township</t>
  </si>
  <si>
    <t>Gas company: EQT</t>
  </si>
  <si>
    <t>R SMITH 592302</t>
  </si>
  <si>
    <t>R. SMITH 592300</t>
  </si>
  <si>
    <t>US NATURAL RESOURCES UNIT 7H</t>
  </si>
  <si>
    <t>SWAGLER 6H</t>
  </si>
  <si>
    <t>IRON MAN 2H</t>
  </si>
  <si>
    <t>DMC PROPERTIES UNIT 10H</t>
  </si>
  <si>
    <t>Washington County | Donegal Township</t>
  </si>
  <si>
    <t>WATERBOY 2H</t>
  </si>
  <si>
    <t>Washington County | South Strabane Township</t>
  </si>
  <si>
    <t>BRUCE WAYNE A 5H</t>
  </si>
  <si>
    <t>WOLVERINE 10H</t>
  </si>
  <si>
    <t>Washington County | Fallowfield Township</t>
  </si>
  <si>
    <t>US NATURAL RESOURCES UNIT 1H</t>
  </si>
  <si>
    <t>LUSK 3H</t>
  </si>
  <si>
    <t>Washington County | West Pike Run Township</t>
  </si>
  <si>
    <t>MAD DOG 2020 9H</t>
  </si>
  <si>
    <t>CRUM NV55CHS</t>
  </si>
  <si>
    <t>Washington County | Morris Township</t>
  </si>
  <si>
    <t>Gas company: CNX</t>
  </si>
  <si>
    <t>CONSOL NV57GHS</t>
  </si>
  <si>
    <t>WATERBOY 4H</t>
  </si>
  <si>
    <t>MAD DOG 2020 5H</t>
  </si>
  <si>
    <t>ZORRO 2H</t>
  </si>
  <si>
    <t>ZORRO 4H</t>
  </si>
  <si>
    <t>ZORRO 12H</t>
  </si>
  <si>
    <t>CRUM NV55EHS</t>
  </si>
  <si>
    <t>MONO 3H</t>
  </si>
  <si>
    <t>COFFIELD/GOTTSCHALK NV34JHS</t>
  </si>
  <si>
    <t>CONSOL NV57CHS</t>
  </si>
  <si>
    <t>CRUM NV55DHS</t>
  </si>
  <si>
    <t>MARCHEZAK JOHN 11528 6H</t>
  </si>
  <si>
    <t>BROVA 9H</t>
  </si>
  <si>
    <t>MONO 1H</t>
  </si>
  <si>
    <t>GOLDEN GOOSE 8H</t>
  </si>
  <si>
    <t>R SMITH 592299</t>
  </si>
  <si>
    <t>TRAX FARMS 592309</t>
  </si>
  <si>
    <t>Washington County | Union Township</t>
  </si>
  <si>
    <t>BIER ALBERT 11409 2H</t>
  </si>
  <si>
    <t>Washington County | North Strabane Township</t>
  </si>
  <si>
    <t>X-MAN 7H</t>
  </si>
  <si>
    <t>CONSOL NV57JHS</t>
  </si>
  <si>
    <t>BROVA 3H</t>
  </si>
  <si>
    <t>BROVA 7H</t>
  </si>
  <si>
    <t>BIG DADDY SHAW 6H</t>
  </si>
  <si>
    <t>MONO 7H</t>
  </si>
  <si>
    <t>MAD DOG 2020 0H</t>
  </si>
  <si>
    <t>BROVA 4H</t>
  </si>
  <si>
    <t>WATERBOY 8H</t>
  </si>
  <si>
    <t>COFFIELD/GOTTSCHALK NV34GHS</t>
  </si>
  <si>
    <t>AVERAGE PRODUCTION</t>
  </si>
  <si>
    <t>Assumption</t>
  </si>
  <si>
    <t>Number of Wells Needed to Meet MD Demand (Demand Defined as Amount Above 2006 Consumption)</t>
  </si>
  <si>
    <t>Additional Demand from 2006 in Maryland</t>
  </si>
  <si>
    <t>Number of Fracking Wells In PA Needed to Meet Additional Demand</t>
  </si>
  <si>
    <t>CO2E Fracking Well Development Emissions for 5 Wells</t>
  </si>
  <si>
    <t>Number of Wells Needed to Meet MD Demand (Demand Defined as Maximum Consumption Year 1997-2005)</t>
  </si>
  <si>
    <t>CO2E Fracking Well Development Emissions for 1 Well</t>
  </si>
  <si>
    <t>Number of Wells Needed to Meet MD Demand (Demand Defined as Average Consumption Between Years 1997-2005)</t>
  </si>
  <si>
    <t>CO2E Fracking Well Development Emissions for 3 Wells</t>
  </si>
  <si>
    <t>Number of Wells Needed to Meet MD Demand (Demand Defined as 67% of Total Consumption)</t>
  </si>
  <si>
    <t>CO2E Fracking Well Development Emissions for 19 Wells</t>
  </si>
  <si>
    <t>Onshore Petroleum &amp; Natural Gas Production</t>
  </si>
  <si>
    <r>
      <t xml:space="preserve">INSTRUCTIONS:
</t>
    </r>
    <r>
      <rPr>
        <sz val="10"/>
        <color theme="1"/>
        <rFont val="Arial"/>
        <family val="2"/>
      </rPr>
      <t>This sheet provides a simple tool for estimating equipment leak, vented, and combustion emissions from onshore petroleum &amp; natural gas production.  Enter the required information into the “Input Data” field for each source of emissions at your facility. The tool will automatically sum emissions from each input and provide a total estimate of annual CO</t>
    </r>
    <r>
      <rPr>
        <vertAlign val="subscript"/>
        <sz val="10"/>
        <color theme="1"/>
        <rFont val="Arial"/>
        <family val="2"/>
      </rPr>
      <t>2</t>
    </r>
    <r>
      <rPr>
        <sz val="10"/>
        <color theme="1"/>
        <rFont val="Arial"/>
        <family val="2"/>
      </rPr>
      <t>e equipment leak, vented, and combustion emissions. Enter this total into the CO</t>
    </r>
    <r>
      <rPr>
        <vertAlign val="subscript"/>
        <sz val="10"/>
        <color theme="1"/>
        <rFont val="Arial"/>
        <family val="2"/>
      </rPr>
      <t>2</t>
    </r>
    <r>
      <rPr>
        <sz val="10"/>
        <color theme="1"/>
        <rFont val="Arial"/>
        <family val="2"/>
      </rPr>
      <t xml:space="preserve">e emissions field for onshore petroleum &amp; natural gas production in the applicability tool.  </t>
    </r>
    <r>
      <rPr>
        <sz val="10"/>
        <color theme="1"/>
        <rFont val="Arial"/>
        <family val="2"/>
      </rPr>
      <t xml:space="preserve">
</t>
    </r>
    <r>
      <rPr>
        <sz val="10"/>
        <color theme="1"/>
        <rFont val="Arial"/>
        <family val="2"/>
      </rPr>
      <t xml:space="preserve">
For screening purposes related to co-located industry segments, emissions from all applicable industry segments should be combined to determine whether the emissions from the facility with the co-located industry segments would exceed the 25,000 metric ton CO</t>
    </r>
    <r>
      <rPr>
        <vertAlign val="subscript"/>
        <sz val="10"/>
        <color theme="1"/>
        <rFont val="Arial"/>
        <family val="2"/>
      </rPr>
      <t>2</t>
    </r>
    <r>
      <rPr>
        <sz val="10"/>
        <color theme="1"/>
        <rFont val="Arial"/>
        <family val="2"/>
      </rPr>
      <t>e reporting threshold.</t>
    </r>
  </si>
  <si>
    <t>Methane Emissions Source</t>
  </si>
  <si>
    <t>Input Data</t>
  </si>
  <si>
    <t>Units</t>
  </si>
  <si>
    <r>
      <t>Emissions (metric tons CO</t>
    </r>
    <r>
      <rPr>
        <b/>
        <vertAlign val="subscript"/>
        <sz val="14"/>
        <color rgb="FFFFFFFF"/>
        <rFont val="Arial"/>
        <family val="2"/>
      </rPr>
      <t>2</t>
    </r>
    <r>
      <rPr>
        <b/>
        <sz val="14"/>
        <color rgb="FFFFFFFF"/>
        <rFont val="Arial"/>
        <family val="2"/>
      </rPr>
      <t>e/year)Emissions (metric tons CO</t>
    </r>
    <r>
      <rPr>
        <b/>
        <vertAlign val="subscript"/>
        <sz val="14"/>
        <color rgb="FFFFFFFF"/>
        <rFont val="Arial"/>
        <family val="2"/>
      </rPr>
      <t>2</t>
    </r>
    <r>
      <rPr>
        <b/>
        <sz val="14"/>
        <color rgb="FFFFFFFF"/>
        <rFont val="Arial"/>
        <family val="2"/>
      </rPr>
      <t>e/year)</t>
    </r>
  </si>
  <si>
    <t>Emissions from Field Development (new wells: i.e., expected wells to be drilled &amp; completed in calendar year)</t>
  </si>
  <si>
    <t>Gas well venting during well completions with hydraulic fracturing</t>
  </si>
  <si>
    <t>Number of well completions with hydraulic fracturing</t>
  </si>
  <si>
    <t>Combustion emissions:Combustion emissions:</t>
  </si>
  <si>
    <t>Well drilling and completion equipment (only for hydraulic fracturing)</t>
  </si>
  <si>
    <r>
      <t>Number of</t>
    </r>
    <r>
      <rPr>
        <sz val="10"/>
        <color theme="1"/>
        <rFont val="Arial"/>
        <family val="2"/>
      </rPr>
      <t xml:space="preserve"> active drilling rig enginesNumber of active drilling rig engines</t>
    </r>
  </si>
  <si>
    <t>Operating factor (decimal form)*</t>
  </si>
  <si>
    <t>Emissions from Ongoing Production (i.e., from wells currently in operation)</t>
  </si>
  <si>
    <t>Well venting for liquids unloading</t>
  </si>
  <si>
    <t>Number of wells (w/o plungers) unloaded</t>
  </si>
  <si>
    <t>Gas well venting during well workovers with hydraulic fracturing</t>
  </si>
  <si>
    <t>Number of workovers with hydraulic fracturing</t>
  </si>
  <si>
    <t>Storage tanks vented emissions from producted hydrocarbons (crude oil and/or condensate)</t>
  </si>
  <si>
    <t>Barrels of crude oil from non-stripper wells (bbl)</t>
  </si>
  <si>
    <t>Barrels of condensate (bbl)</t>
  </si>
  <si>
    <t>Reciprocating compressor rod packing venting</t>
  </si>
  <si>
    <t>Number of wellhead compressors</t>
  </si>
  <si>
    <t>Centrifugal compressor venting</t>
  </si>
  <si>
    <t>Dehydrator vents</t>
  </si>
  <si>
    <t>Total natural gas produced in, Bcf/year</t>
  </si>
  <si>
    <t>Natural gas pneumatic device and pneumatic pump venting</t>
  </si>
  <si>
    <t>Number of producing oil and gas wells</t>
  </si>
  <si>
    <t>Other sources (includes meters/pipeline leaks)</t>
  </si>
  <si>
    <t>Associated gas venting from produced hydrocarbons</t>
  </si>
  <si>
    <t>Barrels of crude oil produced (bbl)</t>
  </si>
  <si>
    <t>Estimated average Gas-to-Oil Ratio (Mcf/bbl)</t>
  </si>
  <si>
    <t>Combustion emissions:</t>
  </si>
  <si>
    <t>Associated gas flaring from produced hydrocarbons</t>
  </si>
  <si>
    <t>Annual volume of associated gas to flare (MMcf)</t>
  </si>
  <si>
    <t>Flare stack emissions</t>
  </si>
  <si>
    <t>Number of completion flares**</t>
  </si>
  <si>
    <t>Annual volume of gas flared for facility (Mcf)***</t>
  </si>
  <si>
    <t xml:space="preserve">     Workover equipment (only for re-fracturing wells)</t>
  </si>
  <si>
    <r>
      <t xml:space="preserve">Number of </t>
    </r>
    <r>
      <rPr>
        <sz val="10"/>
        <color theme="1"/>
        <rFont val="Arial"/>
        <family val="2"/>
      </rPr>
      <t>active</t>
    </r>
    <r>
      <rPr>
        <sz val="10"/>
        <color rgb="FFFF0000"/>
        <rFont val="Arial"/>
        <family val="2"/>
      </rPr>
      <t xml:space="preserve"> </t>
    </r>
    <r>
      <rPr>
        <sz val="10"/>
        <color theme="1"/>
        <rFont val="Arial"/>
        <family val="2"/>
      </rPr>
      <t>drilling rig engines</t>
    </r>
  </si>
  <si>
    <r>
      <t xml:space="preserve">     Wellhead compressors (stationary and portable)***
</t>
    </r>
    <r>
      <rPr>
        <i/>
        <sz val="10"/>
        <color theme="1"/>
        <rFont val="Arial"/>
        <family val="2"/>
      </rPr>
      <t>Only need to enter either total horsepower hours or total number of active wellheads</t>
    </r>
    <r>
      <rPr>
        <sz val="10"/>
        <color theme="1"/>
        <rFont val="Arial"/>
        <family val="2"/>
      </rPr>
      <t xml:space="preserve">  </t>
    </r>
  </si>
  <si>
    <t>Total million horsepower hours for all active wellhead compressors in one year (MMHPhr)</t>
  </si>
  <si>
    <t>Total number of active wellhead compressors in a year</t>
  </si>
  <si>
    <r>
      <t>Onshore Production Total (metric tons CO</t>
    </r>
    <r>
      <rPr>
        <b/>
        <vertAlign val="subscript"/>
        <sz val="10"/>
        <color theme="1"/>
        <rFont val="Arial"/>
        <family val="2"/>
      </rPr>
      <t>2</t>
    </r>
    <r>
      <rPr>
        <b/>
        <sz val="10"/>
        <color theme="1"/>
        <rFont val="Arial"/>
        <family val="2"/>
      </rPr>
      <t>e/year)</t>
    </r>
  </si>
  <si>
    <t>Please see the "Guidance &amp; Sources" tab for further information on the calculation methodologies of the above emissions sources.</t>
  </si>
  <si>
    <t>Notes:</t>
  </si>
  <si>
    <t>The emissions factors and calculation methods used in this tool are based on publicly available sources including: the Technical Support Document for Subpart W; the U.S. GHG Inventory; and the 2009 API Compendium.  More details can be found in the Guidance and Sources tab of this worksheet. This tool is only a guide to help companies determine their Subpart W applicability.   The results of this tool are not legally binding.  A reporter must make the final determination regarding their Subpart W applicability.</t>
  </si>
  <si>
    <t>*This is defined as the fraction of time the process unit is operating in a calendar year.  For example, a 90% operating factor would be entered as 0.9 because the unit is in operation for 90% of the year.</t>
  </si>
  <si>
    <t>**Units clarification:
1) "Number of completion flares": flaring done to complete a gas well (for natural gas production)
2) "Annual volume of gas flared for facility": associated gas from oil wells (for petroleum production)</t>
  </si>
  <si>
    <t>***These two colored regions represent two different ways to estimate combustion emissions from wellhead compressors (one by HPhr and the other by total # of active wellhead compressors in a year).  Input data is only required for one set of the two colored boxes (yellow and green).  If the total annual horsepower hours are not known, then use the compressor count (i.e., the green fields) to estimate combustion emssions from wellhead compressors.</t>
  </si>
  <si>
    <r>
      <t xml:space="preserve">Applicability Tool Disclaimer
</t>
    </r>
    <r>
      <rPr>
        <sz val="10"/>
        <color theme="1"/>
        <rFont val="Arial"/>
        <family val="2"/>
      </rPr>
      <t>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t>
    </r>
    <r>
      <rPr>
        <sz val="10"/>
        <color theme="1"/>
        <rFont val="Arial"/>
        <family val="2"/>
      </rPr>
      <t xml:space="preserve">
information entered by the user, do not constitute a submission for purposes of compliance with the rule.</t>
    </r>
  </si>
  <si>
    <t>Guidance for Onshore Petroleum &amp; Natural Gas Production Tool (Subpart W)</t>
  </si>
  <si>
    <t>This sheet provides details on the data sources, equations and emission calculation methodologies, and conversions used in this screening tool.</t>
  </si>
  <si>
    <t>Emission Source</t>
  </si>
  <si>
    <t>Activity Factor (Input Required)</t>
  </si>
  <si>
    <t>General Methodology/Equation</t>
  </si>
  <si>
    <t>Default Methane Emission Factor</t>
  </si>
  <si>
    <t>Methane EF Units</t>
  </si>
  <si>
    <t>Methane EF Sources</t>
  </si>
  <si>
    <t>Methane EF Comments</t>
  </si>
  <si>
    <r>
      <t>Default CO</t>
    </r>
    <r>
      <rPr>
        <b/>
        <vertAlign val="subscript"/>
        <sz val="12"/>
        <color rgb="FFFFFFFF"/>
        <rFont val="Arial"/>
        <family val="2"/>
      </rPr>
      <t>2</t>
    </r>
    <r>
      <rPr>
        <b/>
        <sz val="12"/>
        <color rgb="FFFFFFFF"/>
        <rFont val="Arial"/>
        <family val="2"/>
      </rPr>
      <t xml:space="preserve"> Emission Factor</t>
    </r>
  </si>
  <si>
    <r>
      <t>CO</t>
    </r>
    <r>
      <rPr>
        <b/>
        <vertAlign val="subscript"/>
        <sz val="12"/>
        <color rgb="FFFFFFFF"/>
        <rFont val="Arial"/>
        <family val="2"/>
      </rPr>
      <t>2</t>
    </r>
    <r>
      <rPr>
        <b/>
        <sz val="12"/>
        <color rgb="FFFFFFFF"/>
        <rFont val="Arial"/>
        <family val="2"/>
      </rPr>
      <t xml:space="preserve"> EF Units</t>
    </r>
  </si>
  <si>
    <r>
      <t>CO</t>
    </r>
    <r>
      <rPr>
        <b/>
        <vertAlign val="subscript"/>
        <sz val="12"/>
        <color rgb="FFFFFFFF"/>
        <rFont val="Arial"/>
        <family val="2"/>
      </rPr>
      <t>2</t>
    </r>
    <r>
      <rPr>
        <b/>
        <sz val="12"/>
        <color rgb="FFFFFFFF"/>
        <rFont val="Arial"/>
        <family val="2"/>
      </rPr>
      <t xml:space="preserve"> EF Sources</t>
    </r>
  </si>
  <si>
    <r>
      <t>CO</t>
    </r>
    <r>
      <rPr>
        <b/>
        <vertAlign val="subscript"/>
        <sz val="12"/>
        <color rgb="FFFFFFFF"/>
        <rFont val="Arial"/>
        <family val="2"/>
      </rPr>
      <t>2</t>
    </r>
    <r>
      <rPr>
        <b/>
        <sz val="12"/>
        <color rgb="FFFFFFFF"/>
        <rFont val="Arial"/>
        <family val="2"/>
      </rPr>
      <t xml:space="preserve"> EF Comments</t>
    </r>
  </si>
  <si>
    <r>
      <t xml:space="preserve">Natural gas pneumatic device venting
</t>
    </r>
    <r>
      <rPr>
        <sz val="10"/>
        <color theme="1"/>
        <rFont val="Arial"/>
        <family val="2"/>
      </rPr>
      <t>98.232 (c)(1)</t>
    </r>
  </si>
  <si>
    <t>Number of Wells</t>
  </si>
  <si>
    <r>
      <t>CH</t>
    </r>
    <r>
      <rPr>
        <vertAlign val="subscript"/>
        <sz val="10"/>
        <color theme="1"/>
        <rFont val="Arial"/>
        <family val="2"/>
      </rPr>
      <t>4</t>
    </r>
    <r>
      <rPr>
        <sz val="10"/>
        <color theme="1"/>
        <rFont val="Arial"/>
        <family val="2"/>
      </rPr>
      <t xml:space="preserve"> EF * Number of Producing Wells</t>
    </r>
  </si>
  <si>
    <r>
      <t>scfd CH</t>
    </r>
    <r>
      <rPr>
        <vertAlign val="subscript"/>
        <sz val="10"/>
        <color theme="1"/>
        <rFont val="Arial"/>
        <family val="2"/>
      </rPr>
      <t>4</t>
    </r>
    <r>
      <rPr>
        <sz val="10"/>
        <color theme="1"/>
        <rFont val="Arial"/>
        <family val="2"/>
      </rPr>
      <t>/well</t>
    </r>
  </si>
  <si>
    <t>GRI - 94 - Methane Emissions from the Natural Gas Industry, Volume 12, page no. 48, table 4-6</t>
  </si>
  <si>
    <t>From NG Inventory: all regions; 433,257 PDs, 455,015 Non-associated Gas Wells (NG Inventory); 395,631 PDs, 525,000 Oil Wells (Pet Inventory)</t>
  </si>
  <si>
    <t>N/A</t>
  </si>
  <si>
    <r>
      <t xml:space="preserve">Natural gas driven pneumatic pump venting
</t>
    </r>
    <r>
      <rPr>
        <sz val="10"/>
        <color theme="1"/>
        <rFont val="Arial"/>
        <family val="2"/>
      </rPr>
      <t>98.232 (c)(3)</t>
    </r>
  </si>
  <si>
    <r>
      <t>scfd CH</t>
    </r>
    <r>
      <rPr>
        <vertAlign val="subscript"/>
        <sz val="10"/>
        <color theme="1"/>
        <rFont val="Arial"/>
        <family val="2"/>
      </rPr>
      <t>4</t>
    </r>
    <r>
      <rPr>
        <sz val="10"/>
        <color theme="1"/>
        <rFont val="Arial"/>
        <family val="2"/>
      </rPr>
      <t>/pump</t>
    </r>
  </si>
  <si>
    <t>GRI - 94 - Methane Emissions from the Natural Gas Industry, Volume 13, page no. 27</t>
  </si>
  <si>
    <t>From NG Inventory: all regions; 1579 Pneumatic Pumps, 455,015 Non-associated Gas Wells; 525,000 Oil Wells</t>
  </si>
  <si>
    <r>
      <t xml:space="preserve">Well venting for liquids unloading
</t>
    </r>
    <r>
      <rPr>
        <sz val="10"/>
        <color theme="1"/>
        <rFont val="Arial"/>
        <family val="2"/>
      </rPr>
      <t>98.232 (c)(4)</t>
    </r>
  </si>
  <si>
    <r>
      <t>CH</t>
    </r>
    <r>
      <rPr>
        <vertAlign val="subscript"/>
        <sz val="10"/>
        <color theme="1"/>
        <rFont val="Arial"/>
        <family val="2"/>
      </rPr>
      <t>4</t>
    </r>
    <r>
      <rPr>
        <sz val="10"/>
        <color theme="1"/>
        <rFont val="Arial"/>
        <family val="2"/>
      </rPr>
      <t xml:space="preserve"> EF * Number of wells (w/o plungers) unloaded</t>
    </r>
  </si>
  <si>
    <r>
      <t>Mcf CH</t>
    </r>
    <r>
      <rPr>
        <vertAlign val="subscript"/>
        <sz val="10"/>
        <color theme="1"/>
        <rFont val="Arial"/>
        <family val="2"/>
      </rPr>
      <t>4</t>
    </r>
    <r>
      <rPr>
        <sz val="10"/>
        <color theme="1"/>
        <rFont val="Arial"/>
        <family val="2"/>
      </rPr>
      <t>/well</t>
    </r>
  </si>
  <si>
    <t>EPA.  Background Technical Support Document (docket # EPA-HQ-OAR-2009-0923) for Subpart W. &lt;www.regulations.gov&gt;. EPA revised.</t>
  </si>
  <si>
    <t>App B. pg 84-85 (PDF pg 84-85)
Methane EF was extrapolated from sample data to entire U.S.  Units: per "conventional" gas well.  EF doesn't include reductions from control methods such as plunger lifts</t>
  </si>
  <si>
    <r>
      <t xml:space="preserve">Gas well venting during well completions with hydraulic fracturing
</t>
    </r>
    <r>
      <rPr>
        <sz val="10"/>
        <color theme="1"/>
        <rFont val="Arial"/>
        <family val="2"/>
      </rPr>
      <t>98.232 (c)(6)</t>
    </r>
  </si>
  <si>
    <t>Number of completions with hydraulic fracturing</t>
  </si>
  <si>
    <r>
      <t>CH</t>
    </r>
    <r>
      <rPr>
        <vertAlign val="subscript"/>
        <sz val="10"/>
        <color theme="1"/>
        <rFont val="Arial"/>
        <family val="2"/>
      </rPr>
      <t>4</t>
    </r>
    <r>
      <rPr>
        <sz val="10"/>
        <color theme="1"/>
        <rFont val="Arial"/>
        <family val="2"/>
      </rPr>
      <t xml:space="preserve"> EF * Number of completions with hydraulic fracturing</t>
    </r>
  </si>
  <si>
    <r>
      <t>Mcf CH</t>
    </r>
    <r>
      <rPr>
        <vertAlign val="subscript"/>
        <sz val="10"/>
        <color theme="1"/>
        <rFont val="Arial"/>
        <family val="2"/>
      </rPr>
      <t>4</t>
    </r>
    <r>
      <rPr>
        <sz val="10"/>
        <color theme="1"/>
        <rFont val="Arial"/>
        <family val="2"/>
      </rPr>
      <t>/completion</t>
    </r>
  </si>
  <si>
    <t>App B. Exhibit B-5. pg 82 (PDF pg 82)</t>
  </si>
  <si>
    <r>
      <t xml:space="preserve">Gas well venting during well workovers with hydraulic fracturing
</t>
    </r>
    <r>
      <rPr>
        <sz val="10"/>
        <color theme="1"/>
        <rFont val="Arial"/>
        <family val="2"/>
      </rPr>
      <t>98.232 (c)(8)</t>
    </r>
  </si>
  <si>
    <r>
      <t>CH</t>
    </r>
    <r>
      <rPr>
        <vertAlign val="subscript"/>
        <sz val="10"/>
        <color theme="1"/>
        <rFont val="Arial"/>
        <family val="2"/>
      </rPr>
      <t>4</t>
    </r>
    <r>
      <rPr>
        <sz val="10"/>
        <color theme="1"/>
        <rFont val="Arial"/>
        <family val="2"/>
      </rPr>
      <t xml:space="preserve"> EF * Number of workovers with hydraulic fracturing</t>
    </r>
  </si>
  <si>
    <r>
      <t>Mcf CH</t>
    </r>
    <r>
      <rPr>
        <vertAlign val="subscript"/>
        <sz val="10"/>
        <color theme="1"/>
        <rFont val="Arial"/>
        <family val="2"/>
      </rPr>
      <t>4</t>
    </r>
    <r>
      <rPr>
        <sz val="10"/>
        <color theme="1"/>
        <rFont val="Arial"/>
        <family val="2"/>
      </rPr>
      <t>/workover</t>
    </r>
  </si>
  <si>
    <r>
      <t xml:space="preserve">Flare stack emissions
</t>
    </r>
    <r>
      <rPr>
        <sz val="10"/>
        <color theme="1"/>
        <rFont val="Arial"/>
        <family val="2"/>
      </rPr>
      <t>98.232 (c)(9)</t>
    </r>
  </si>
  <si>
    <t>Number of completion flares</t>
  </si>
  <si>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Number of completion flares</t>
    </r>
  </si>
  <si>
    <r>
      <t>scf CH</t>
    </r>
    <r>
      <rPr>
        <vertAlign val="subscript"/>
        <sz val="10"/>
        <color theme="1"/>
        <rFont val="Arial"/>
        <family val="2"/>
      </rPr>
      <t>4</t>
    </r>
    <r>
      <rPr>
        <sz val="10"/>
        <color theme="1"/>
        <rFont val="Arial"/>
        <family val="2"/>
      </rPr>
      <t>/completion</t>
    </r>
  </si>
  <si>
    <t>GRI - 94 - Methane Emissions from the Natural Gas Industry, Volume 6, page no. 18, Table 4-2.</t>
  </si>
  <si>
    <t>From NG Inventory: all regions, "Completion flaring"</t>
  </si>
  <si>
    <r>
      <t>scf CO</t>
    </r>
    <r>
      <rPr>
        <vertAlign val="subscript"/>
        <sz val="10"/>
        <color theme="1"/>
        <rFont val="Arial"/>
        <family val="2"/>
      </rPr>
      <t>2</t>
    </r>
    <r>
      <rPr>
        <sz val="10"/>
        <color theme="1"/>
        <rFont val="Arial"/>
        <family val="2"/>
      </rPr>
      <t>/completion</t>
    </r>
  </si>
  <si>
    <t>GRI - 94 - Methane Emissions from the Natural Gas Industry, Volume 6, page no. 18, table 4-2</t>
  </si>
  <si>
    <t>From NG Inventory: all regions, "Completion flaring"
Corrected for 98% combustion efficiency</t>
  </si>
  <si>
    <t>Annual volume of gas flared for facility (Mcf)</t>
  </si>
  <si>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Annual volume of gas flared for facility (Mcf)</t>
    </r>
  </si>
  <si>
    <r>
      <t>scf CH</t>
    </r>
    <r>
      <rPr>
        <vertAlign val="subscript"/>
        <sz val="10"/>
        <color theme="1"/>
        <rFont val="Arial"/>
        <family val="2"/>
      </rPr>
      <t>4</t>
    </r>
    <r>
      <rPr>
        <sz val="10"/>
        <color theme="1"/>
        <rFont val="Arial"/>
        <family val="2"/>
      </rPr>
      <t xml:space="preserve"> per Mcf gas flared</t>
    </r>
  </si>
  <si>
    <t>CAPP, A Detailed Invetory of CH4 and VOC Emissions from Upstream Oil &amp; Gas Operations in Alberta 3/92, Vol.II</t>
  </si>
  <si>
    <t>From Petroleum Inventory: "Flares"</t>
  </si>
  <si>
    <r>
      <t>scf C0</t>
    </r>
    <r>
      <rPr>
        <vertAlign val="subscript"/>
        <sz val="10"/>
        <color theme="1"/>
        <rFont val="Arial"/>
        <family val="2"/>
      </rPr>
      <t>2</t>
    </r>
    <r>
      <rPr>
        <sz val="10"/>
        <color theme="1"/>
        <rFont val="Arial"/>
        <family val="2"/>
      </rPr>
      <t xml:space="preserve"> per Mcf gas flared</t>
    </r>
  </si>
  <si>
    <r>
      <t>CAPP, A Detailed Invetory of CH</t>
    </r>
    <r>
      <rPr>
        <vertAlign val="subscript"/>
        <sz val="10"/>
        <color theme="1"/>
        <rFont val="Arial"/>
        <family val="2"/>
      </rPr>
      <t>4</t>
    </r>
    <r>
      <rPr>
        <sz val="10"/>
        <color theme="1"/>
        <rFont val="Arial"/>
        <family val="2"/>
      </rPr>
      <t xml:space="preserve"> and VOC Emissions from Upstream Oil &amp; Gas Operations in Alberta 3/92, Vol.II</t>
    </r>
  </si>
  <si>
    <t>From Petroleum Inventory: "Flares"
Corrected for 98% combustion efficiency</t>
  </si>
  <si>
    <r>
      <t xml:space="preserve">Storage tanks vented emissions from produced hydrocarbons
</t>
    </r>
    <r>
      <rPr>
        <sz val="10"/>
        <color theme="1"/>
        <rFont val="Arial"/>
        <family val="2"/>
      </rPr>
      <t>98.232 (c)(10)</t>
    </r>
  </si>
  <si>
    <t xml:space="preserve">     Crude Oil Storage Tanks</t>
  </si>
  <si>
    <r>
      <t>CH</t>
    </r>
    <r>
      <rPr>
        <vertAlign val="subscript"/>
        <sz val="10"/>
        <color theme="1"/>
        <rFont val="Arial"/>
        <family val="2"/>
      </rPr>
      <t>4</t>
    </r>
    <r>
      <rPr>
        <sz val="10"/>
        <color theme="1"/>
        <rFont val="Arial"/>
        <family val="2"/>
      </rPr>
      <t xml:space="preserve"> EF * Barrels of oil produced</t>
    </r>
  </si>
  <si>
    <r>
      <t>scf of CH</t>
    </r>
    <r>
      <rPr>
        <vertAlign val="subscript"/>
        <sz val="10"/>
        <color theme="1"/>
        <rFont val="Arial"/>
        <family val="2"/>
      </rPr>
      <t>4</t>
    </r>
    <r>
      <rPr>
        <sz val="10"/>
        <color theme="1"/>
        <rFont val="Arial"/>
        <family val="2"/>
      </rPr>
      <t>/bbl crude</t>
    </r>
  </si>
  <si>
    <t>TankCALC:
13955:
5.28 scf/bbl is the average from API TankCalc Runs for oils with API gravity &lt; 45.
The earlier value 18 scf/bbl was an average for oils of all gravities (API 17 thru API 66). This lighter oils at API 45 and above are listed as condensate tanks and are accoutned for in the Gas model.</t>
  </si>
  <si>
    <t>From Petroleum Inventory: vented source "Oil Tanks"</t>
  </si>
  <si>
    <t xml:space="preserve">     Condensate Storage Tanks</t>
  </si>
  <si>
    <r>
      <t>CH</t>
    </r>
    <r>
      <rPr>
        <vertAlign val="subscript"/>
        <sz val="10"/>
        <color theme="1"/>
        <rFont val="Arial"/>
        <family val="2"/>
      </rPr>
      <t>4</t>
    </r>
    <r>
      <rPr>
        <sz val="10"/>
        <color theme="1"/>
        <rFont val="Arial"/>
        <family val="2"/>
      </rPr>
      <t xml:space="preserve"> EF * Barrels of condensate</t>
    </r>
  </si>
  <si>
    <r>
      <t>scf CH</t>
    </r>
    <r>
      <rPr>
        <vertAlign val="subscript"/>
        <sz val="10"/>
        <color theme="1"/>
        <rFont val="Arial"/>
        <family val="2"/>
      </rPr>
      <t>4</t>
    </r>
    <r>
      <rPr>
        <sz val="10"/>
        <color theme="1"/>
        <rFont val="Arial"/>
        <family val="2"/>
      </rPr>
      <t>/bbl</t>
    </r>
  </si>
  <si>
    <t>Calculated from EP&amp;P/ API Tank Calc Runs as weighted average of emissions rate for gravity range API 45 and above.</t>
  </si>
  <si>
    <t>From NG Inventory: all regions, "Condensate Tanks without Control Devices"</t>
  </si>
  <si>
    <r>
      <t xml:space="preserve">Reciprocating compressor rod packing venting
</t>
    </r>
    <r>
      <rPr>
        <sz val="10"/>
        <color theme="1"/>
        <rFont val="Arial"/>
        <family val="2"/>
      </rPr>
      <t>98.232 (c)(11)Reciprocating compressor rod packing venting</t>
    </r>
    <r>
      <rPr>
        <sz val="10"/>
        <color theme="1"/>
        <rFont val="Arial"/>
        <family val="2"/>
      </rPr>
      <t xml:space="preserve">
</t>
    </r>
    <r>
      <rPr>
        <sz val="10"/>
        <color theme="1"/>
        <rFont val="Arial"/>
        <family val="2"/>
      </rPr>
      <t xml:space="preserve">
98.232 (c)(11)</t>
    </r>
  </si>
  <si>
    <t>Number of wellhead compressors, operating factor</t>
  </si>
  <si>
    <r>
      <t>CH</t>
    </r>
    <r>
      <rPr>
        <vertAlign val="subscript"/>
        <sz val="10"/>
        <color theme="1"/>
        <rFont val="Arial"/>
        <family val="2"/>
      </rPr>
      <t>4</t>
    </r>
    <r>
      <rPr>
        <sz val="10"/>
        <color theme="1"/>
        <rFont val="Arial"/>
        <family val="2"/>
      </rPr>
      <t xml:space="preserve"> EF * Number of wellhead compressors * Operating factorCH</t>
    </r>
    <r>
      <rPr>
        <vertAlign val="subscript"/>
        <sz val="10"/>
        <color theme="1"/>
        <rFont val="Arial"/>
        <family val="2"/>
      </rPr>
      <t>4</t>
    </r>
    <r>
      <rPr>
        <sz val="10"/>
        <color theme="1"/>
        <rFont val="Arial"/>
        <family val="2"/>
      </rPr>
      <t xml:space="preserve"> EF * Number of wellhead compressors * Operating factor</t>
    </r>
  </si>
  <si>
    <r>
      <t>scfd CH</t>
    </r>
    <r>
      <rPr>
        <vertAlign val="subscript"/>
        <sz val="10"/>
        <color theme="1"/>
        <rFont val="Arial"/>
        <family val="2"/>
      </rPr>
      <t>4</t>
    </r>
    <r>
      <rPr>
        <sz val="10"/>
        <color theme="1"/>
        <rFont val="Arial"/>
        <family val="2"/>
      </rPr>
      <t>/compressorscfd CH</t>
    </r>
    <r>
      <rPr>
        <vertAlign val="subscript"/>
        <sz val="10"/>
        <color theme="1"/>
        <rFont val="Arial"/>
        <family val="2"/>
      </rPr>
      <t>4</t>
    </r>
    <r>
      <rPr>
        <sz val="10"/>
        <color theme="1"/>
        <rFont val="Arial"/>
        <family val="2"/>
      </rPr>
      <t>/compressor</t>
    </r>
  </si>
  <si>
    <t>GRI - 96 - Methane Emissions from the Natural Gas Industry, Final Report</t>
  </si>
  <si>
    <t>From NG Inventory: all regions, "Large Reciprocating Comp." EF for conservativeness</t>
  </si>
  <si>
    <r>
      <t xml:space="preserve">Well testing venting and flaring
</t>
    </r>
    <r>
      <rPr>
        <sz val="10"/>
        <color theme="1"/>
        <rFont val="Arial"/>
        <family val="2"/>
      </rPr>
      <t>98.232 (c)(12)Well testing venting and flaring</t>
    </r>
    <r>
      <rPr>
        <sz val="10"/>
        <color theme="1"/>
        <rFont val="Arial"/>
        <family val="2"/>
      </rPr>
      <t xml:space="preserve">
</t>
    </r>
    <r>
      <rPr>
        <sz val="10"/>
        <color theme="1"/>
        <rFont val="Arial"/>
        <family val="2"/>
      </rPr>
      <t xml:space="preserve">
98.232 (c)(12)</t>
    </r>
  </si>
  <si>
    <t>N/A (using existing data to estimate)</t>
  </si>
  <si>
    <r>
      <t>Grouped into "Other sources (includes meters/pipeline leaks)".  Calculated based on number of producing oil and gas wells, along with 2008 U.S. CH</t>
    </r>
    <r>
      <rPr>
        <vertAlign val="subscript"/>
        <sz val="10"/>
        <color theme="1"/>
        <rFont val="Arial"/>
        <family val="2"/>
      </rPr>
      <t>4</t>
    </r>
    <r>
      <rPr>
        <sz val="10"/>
        <color theme="1"/>
        <rFont val="Arial"/>
        <family val="2"/>
      </rPr>
      <t xml:space="preserve"> production emissions.Grouped into "Other sources (includes meters/pipeline leaks)".  Calculated based on number of producing oil and gas wells, along with 2008 U.S. CH</t>
    </r>
    <r>
      <rPr>
        <vertAlign val="subscript"/>
        <sz val="10"/>
        <color theme="1"/>
        <rFont val="Arial"/>
        <family val="2"/>
      </rPr>
      <t>4</t>
    </r>
    <r>
      <rPr>
        <sz val="10"/>
        <color theme="1"/>
        <rFont val="Arial"/>
        <family val="2"/>
      </rPr>
      <t xml:space="preserve"> production emissions.</t>
    </r>
  </si>
  <si>
    <t>No EF used</t>
  </si>
  <si>
    <r>
      <t xml:space="preserve">Associated gas venting and flaring from produced hydrocarbons
</t>
    </r>
    <r>
      <rPr>
        <sz val="10"/>
        <color theme="1"/>
        <rFont val="Arial"/>
        <family val="2"/>
      </rPr>
      <t>98.232 (c)(13)Associated gas venting and flaring from produced hydrocarbons</t>
    </r>
    <r>
      <rPr>
        <sz val="10"/>
        <color theme="1"/>
        <rFont val="Arial"/>
        <family val="2"/>
      </rPr>
      <t xml:space="preserve">
</t>
    </r>
    <r>
      <rPr>
        <sz val="10"/>
        <color theme="1"/>
        <rFont val="Arial"/>
        <family val="2"/>
      </rPr>
      <t xml:space="preserve">
98.232 (c)(13)</t>
    </r>
  </si>
  <si>
    <t>Annual volume associated gas to flare (MMcf)</t>
  </si>
  <si>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Annual volume associated gas to flare(CH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Annual volume associated gas to flare</t>
    </r>
  </si>
  <si>
    <r>
      <t>tCO</t>
    </r>
    <r>
      <rPr>
        <vertAlign val="subscript"/>
        <sz val="10"/>
        <color theme="1"/>
        <rFont val="Arial"/>
        <family val="2"/>
      </rPr>
      <t>2</t>
    </r>
    <r>
      <rPr>
        <sz val="10"/>
        <color theme="1"/>
        <rFont val="Arial"/>
        <family val="2"/>
      </rPr>
      <t>e/MMcf gas to flaretCO</t>
    </r>
    <r>
      <rPr>
        <vertAlign val="subscript"/>
        <sz val="10"/>
        <color theme="1"/>
        <rFont val="Arial"/>
        <family val="2"/>
      </rPr>
      <t>2</t>
    </r>
    <r>
      <rPr>
        <sz val="10"/>
        <color theme="1"/>
        <rFont val="Arial"/>
        <family val="2"/>
      </rPr>
      <t>e/MMcf gas to flare</t>
    </r>
  </si>
  <si>
    <t>98% flaring efficiency &amp; 78.8% CH4 in production sector gas
GRI - 94 - Methane Emissions from the Natural Gas Industry, Volume 6, page no. 27 (PDF pg 37), Table 5-4.98% flaring efficiency &amp; 78.8% CH4 in production sector gas
GRI - 94 - Methane Emissions from the Natural Gas Industry, Volume 6, page no. 27 (PDF pg 37), Table 5-4.</t>
  </si>
  <si>
    <r>
      <t>From NG Inventory: Production - Onshore; "CO</t>
    </r>
    <r>
      <rPr>
        <vertAlign val="subscript"/>
        <sz val="10"/>
        <color theme="1"/>
        <rFont val="Arial"/>
        <family val="2"/>
      </rPr>
      <t>2</t>
    </r>
    <r>
      <rPr>
        <sz val="10"/>
        <color theme="1"/>
        <rFont val="Arial"/>
        <family val="2"/>
      </rPr>
      <t xml:space="preserve"> Emission Factor for Flared Natural Gas"</t>
    </r>
    <r>
      <rPr>
        <sz val="10"/>
        <color theme="1"/>
        <rFont val="Arial"/>
        <family val="2"/>
      </rPr>
      <t xml:space="preserve">
</t>
    </r>
    <r>
      <rPr>
        <sz val="10"/>
        <color theme="1"/>
        <rFont val="Arial"/>
        <family val="2"/>
      </rPr>
      <t xml:space="preserve">
Tg CO2 Eq = teragrams (10</t>
    </r>
    <r>
      <rPr>
        <vertAlign val="superscript"/>
        <sz val="10"/>
        <color theme="1"/>
        <rFont val="Arial"/>
        <family val="2"/>
      </rPr>
      <t>12</t>
    </r>
    <r>
      <rPr>
        <sz val="10"/>
        <color theme="1"/>
        <rFont val="Arial"/>
        <family val="2"/>
      </rPr>
      <t>) CO</t>
    </r>
    <r>
      <rPr>
        <vertAlign val="subscript"/>
        <sz val="10"/>
        <color theme="1"/>
        <rFont val="Arial"/>
        <family val="2"/>
      </rPr>
      <t>2</t>
    </r>
    <r>
      <rPr>
        <sz val="10"/>
        <color theme="1"/>
        <rFont val="Arial"/>
        <family val="2"/>
      </rPr>
      <t xml:space="preserve"> equivalent</t>
    </r>
    <r>
      <rPr>
        <sz val="10"/>
        <color theme="1"/>
        <rFont val="Arial"/>
        <family val="2"/>
      </rPr>
      <t xml:space="preserve">
QBTU = quadrillion (10</t>
    </r>
    <r>
      <rPr>
        <vertAlign val="superscript"/>
        <sz val="10"/>
        <color theme="1"/>
        <rFont val="Arial"/>
        <family val="2"/>
      </rPr>
      <t>15</t>
    </r>
    <r>
      <rPr>
        <sz val="10"/>
        <color theme="1"/>
        <rFont val="Arial"/>
        <family val="2"/>
      </rPr>
      <t>) BTUs</t>
    </r>
    <r>
      <rPr>
        <sz val="10"/>
        <color theme="1"/>
        <rFont val="Arial"/>
        <family val="2"/>
      </rPr>
      <t xml:space="preserve">
</t>
    </r>
    <r>
      <rPr>
        <sz val="10"/>
        <color theme="1"/>
        <rFont val="Arial"/>
        <family val="2"/>
      </rPr>
      <t xml:space="preserve">
Assume:</t>
    </r>
    <r>
      <rPr>
        <sz val="10"/>
        <color theme="1"/>
        <rFont val="Arial"/>
        <family val="2"/>
      </rPr>
      <t xml:space="preserve">
1) Flaring emissions are assumed to be greater than venting emissions (i.e., venting emissions are excluded)</t>
    </r>
    <r>
      <rPr>
        <sz val="10"/>
        <color theme="1"/>
        <rFont val="Arial"/>
        <family val="2"/>
      </rPr>
      <t xml:space="preserve">
2) Calculated assuming 98% combustion efficiency</t>
    </r>
    <r>
      <rPr>
        <sz val="10"/>
        <color theme="1"/>
        <rFont val="Arial"/>
        <family val="2"/>
      </rPr>
      <t xml:space="preserve">
3) 78.8% CH4 in the input gas (for production sector)From NG Inventory: Production - Onshore; "CO</t>
    </r>
    <r>
      <rPr>
        <vertAlign val="subscript"/>
        <sz val="10"/>
        <color theme="1"/>
        <rFont val="Arial"/>
        <family val="2"/>
      </rPr>
      <t>2</t>
    </r>
    <r>
      <rPr>
        <sz val="10"/>
        <color theme="1"/>
        <rFont val="Arial"/>
        <family val="2"/>
      </rPr>
      <t xml:space="preserve"> Emission Factor for Flared Natural Gas"</t>
    </r>
    <r>
      <rPr>
        <sz val="10"/>
        <color theme="1"/>
        <rFont val="Arial"/>
        <family val="2"/>
      </rPr>
      <t xml:space="preserve">
</t>
    </r>
    <r>
      <rPr>
        <sz val="10"/>
        <color theme="1"/>
        <rFont val="Arial"/>
        <family val="2"/>
      </rPr>
      <t xml:space="preserve">
Tg CO2 Eq = teragrams (10</t>
    </r>
    <r>
      <rPr>
        <vertAlign val="superscript"/>
        <sz val="10"/>
        <color theme="1"/>
        <rFont val="Arial"/>
        <family val="2"/>
      </rPr>
      <t>12</t>
    </r>
    <r>
      <rPr>
        <sz val="10"/>
        <color theme="1"/>
        <rFont val="Arial"/>
        <family val="2"/>
      </rPr>
      <t>) CO</t>
    </r>
    <r>
      <rPr>
        <vertAlign val="subscript"/>
        <sz val="10"/>
        <color theme="1"/>
        <rFont val="Arial"/>
        <family val="2"/>
      </rPr>
      <t>2</t>
    </r>
    <r>
      <rPr>
        <sz val="10"/>
        <color theme="1"/>
        <rFont val="Arial"/>
        <family val="2"/>
      </rPr>
      <t xml:space="preserve"> equivalent</t>
    </r>
    <r>
      <rPr>
        <sz val="10"/>
        <color theme="1"/>
        <rFont val="Arial"/>
        <family val="2"/>
      </rPr>
      <t xml:space="preserve">
QBTU = quadrillion (10</t>
    </r>
    <r>
      <rPr>
        <vertAlign val="superscript"/>
        <sz val="10"/>
        <color theme="1"/>
        <rFont val="Arial"/>
        <family val="2"/>
      </rPr>
      <t>15</t>
    </r>
    <r>
      <rPr>
        <sz val="10"/>
        <color theme="1"/>
        <rFont val="Arial"/>
        <family val="2"/>
      </rPr>
      <t>) BTUs</t>
    </r>
    <r>
      <rPr>
        <sz val="10"/>
        <color theme="1"/>
        <rFont val="Arial"/>
        <family val="2"/>
      </rPr>
      <t xml:space="preserve">
</t>
    </r>
    <r>
      <rPr>
        <sz val="10"/>
        <color theme="1"/>
        <rFont val="Arial"/>
        <family val="2"/>
      </rPr>
      <t xml:space="preserve">
Assume:</t>
    </r>
    <r>
      <rPr>
        <sz val="10"/>
        <color theme="1"/>
        <rFont val="Arial"/>
        <family val="2"/>
      </rPr>
      <t xml:space="preserve">
1) Flaring emissions are assumed to be greater than venting emissions (i.e., venting emissions are excluded)</t>
    </r>
    <r>
      <rPr>
        <sz val="10"/>
        <color theme="1"/>
        <rFont val="Arial"/>
        <family val="2"/>
      </rPr>
      <t xml:space="preserve">
2) Calculated assuming 98% combustion efficiency</t>
    </r>
    <r>
      <rPr>
        <sz val="10"/>
        <color theme="1"/>
        <rFont val="Arial"/>
        <family val="2"/>
      </rPr>
      <t xml:space="preserve">
3) 78.8% CH4 in the input gas (for production sector)</t>
    </r>
  </si>
  <si>
    <r>
      <t>54.71 Tg CO</t>
    </r>
    <r>
      <rPr>
        <vertAlign val="subscript"/>
        <sz val="10"/>
        <color theme="1"/>
        <rFont val="Arial"/>
        <family val="2"/>
      </rPr>
      <t>2</t>
    </r>
    <r>
      <rPr>
        <sz val="10"/>
        <color theme="1"/>
        <rFont val="Arial"/>
        <family val="2"/>
      </rPr>
      <t>e/QBTU</t>
    </r>
    <r>
      <rPr>
        <sz val="10"/>
        <color theme="1"/>
        <rFont val="Arial"/>
        <family val="2"/>
      </rPr>
      <t xml:space="preserve">
</t>
    </r>
    <r>
      <rPr>
        <sz val="10"/>
        <color theme="1"/>
        <rFont val="Arial"/>
        <family val="2"/>
      </rPr>
      <t xml:space="preserve">
Emission Factor taken from EIA's 1996 Greenhouse Gas Inventory and confirmed with Art Rypinski at EIA.  EIA's emissions estimates differ because they use unpublished State level data and apply State level emissions factors.54.71 Tg CO</t>
    </r>
    <r>
      <rPr>
        <vertAlign val="subscript"/>
        <sz val="10"/>
        <color theme="1"/>
        <rFont val="Arial"/>
        <family val="2"/>
      </rPr>
      <t>2</t>
    </r>
    <r>
      <rPr>
        <sz val="10"/>
        <color theme="1"/>
        <rFont val="Arial"/>
        <family val="2"/>
      </rPr>
      <t>e/QBTU</t>
    </r>
    <r>
      <rPr>
        <sz val="10"/>
        <color theme="1"/>
        <rFont val="Arial"/>
        <family val="2"/>
      </rPr>
      <t xml:space="preserve">
</t>
    </r>
    <r>
      <rPr>
        <sz val="10"/>
        <color theme="1"/>
        <rFont val="Arial"/>
        <family val="2"/>
      </rPr>
      <t xml:space="preserve">
Emission Factor taken from EIA's 1996 Greenhouse Gas Inventory and confirmed with Art Rypinski at EIA.  EIA's emissions estimates differ because they use unpublished State level data and apply State level emissions factors.</t>
    </r>
  </si>
  <si>
    <r>
      <t>From NG Inventory: Production - Onshore; "CO</t>
    </r>
    <r>
      <rPr>
        <vertAlign val="subscript"/>
        <sz val="10"/>
        <color theme="1"/>
        <rFont val="Arial"/>
        <family val="2"/>
      </rPr>
      <t>2</t>
    </r>
    <r>
      <rPr>
        <sz val="10"/>
        <color theme="1"/>
        <rFont val="Arial"/>
        <family val="2"/>
      </rPr>
      <t xml:space="preserve"> Emission Factor for Flared Natural Gas"</t>
    </r>
    <r>
      <rPr>
        <sz val="10"/>
        <color theme="1"/>
        <rFont val="Arial"/>
        <family val="2"/>
      </rPr>
      <t xml:space="preserve">
</t>
    </r>
    <r>
      <rPr>
        <sz val="10"/>
        <color theme="1"/>
        <rFont val="Arial"/>
        <family val="2"/>
      </rPr>
      <t xml:space="preserve">
Tg CO</t>
    </r>
    <r>
      <rPr>
        <vertAlign val="subscript"/>
        <sz val="10"/>
        <color theme="1"/>
        <rFont val="Arial"/>
        <family val="2"/>
      </rPr>
      <t>2</t>
    </r>
    <r>
      <rPr>
        <sz val="10"/>
        <color theme="1"/>
        <rFont val="Arial"/>
        <family val="2"/>
      </rPr>
      <t xml:space="preserve"> Eq = teragrams (10</t>
    </r>
    <r>
      <rPr>
        <vertAlign val="superscript"/>
        <sz val="10"/>
        <color theme="1"/>
        <rFont val="Arial"/>
        <family val="2"/>
      </rPr>
      <t>12</t>
    </r>
    <r>
      <rPr>
        <sz val="10"/>
        <color theme="1"/>
        <rFont val="Arial"/>
        <family val="2"/>
      </rPr>
      <t>) CO</t>
    </r>
    <r>
      <rPr>
        <vertAlign val="subscript"/>
        <sz val="10"/>
        <color theme="1"/>
        <rFont val="Arial"/>
        <family val="2"/>
      </rPr>
      <t>2</t>
    </r>
    <r>
      <rPr>
        <sz val="10"/>
        <color theme="1"/>
        <rFont val="Arial"/>
        <family val="2"/>
      </rPr>
      <t xml:space="preserve"> equivalent</t>
    </r>
    <r>
      <rPr>
        <sz val="10"/>
        <color theme="1"/>
        <rFont val="Arial"/>
        <family val="2"/>
      </rPr>
      <t xml:space="preserve">
QBTU = quadrillion (10</t>
    </r>
    <r>
      <rPr>
        <vertAlign val="superscript"/>
        <sz val="10"/>
        <color theme="1"/>
        <rFont val="Arial"/>
        <family val="2"/>
      </rPr>
      <t>15</t>
    </r>
    <r>
      <rPr>
        <sz val="10"/>
        <color theme="1"/>
        <rFont val="Arial"/>
        <family val="2"/>
      </rPr>
      <t>) BTUs</t>
    </r>
    <r>
      <rPr>
        <sz val="10"/>
        <color theme="1"/>
        <rFont val="Arial"/>
        <family val="2"/>
      </rPr>
      <t xml:space="preserve">
</t>
    </r>
    <r>
      <rPr>
        <sz val="10"/>
        <color theme="1"/>
        <rFont val="Arial"/>
        <family val="2"/>
      </rPr>
      <t xml:space="preserve">
Assume:</t>
    </r>
    <r>
      <rPr>
        <sz val="10"/>
        <color theme="1"/>
        <rFont val="Arial"/>
        <family val="2"/>
      </rPr>
      <t xml:space="preserve">
1) 1 scf gas = 1,235 BTU</t>
    </r>
    <r>
      <rPr>
        <sz val="10"/>
        <color theme="1"/>
        <rFont val="Arial"/>
        <family val="2"/>
      </rPr>
      <t xml:space="preserve">
(Source: 2004 API Compendium. Table 3-5. pg 3-16 (PDF pg 59) "Natural Gas (raw/unprocessed)")</t>
    </r>
    <r>
      <rPr>
        <sz val="10"/>
        <color theme="1"/>
        <rFont val="Arial"/>
        <family val="2"/>
      </rPr>
      <t xml:space="preserve">
2) Flaring emissions are assumed to be greater than venting emissions (i.e., venting emissions are excluded)From NG Inventory: Production - Onshore; "CO</t>
    </r>
    <r>
      <rPr>
        <vertAlign val="subscript"/>
        <sz val="10"/>
        <color theme="1"/>
        <rFont val="Arial"/>
        <family val="2"/>
      </rPr>
      <t>2</t>
    </r>
    <r>
      <rPr>
        <sz val="10"/>
        <color theme="1"/>
        <rFont val="Arial"/>
        <family val="2"/>
      </rPr>
      <t xml:space="preserve"> Emission Factor for Flared Natural Gas"</t>
    </r>
    <r>
      <rPr>
        <sz val="10"/>
        <color theme="1"/>
        <rFont val="Arial"/>
        <family val="2"/>
      </rPr>
      <t xml:space="preserve">
</t>
    </r>
    <r>
      <rPr>
        <sz val="10"/>
        <color theme="1"/>
        <rFont val="Arial"/>
        <family val="2"/>
      </rPr>
      <t xml:space="preserve">
Tg CO</t>
    </r>
    <r>
      <rPr>
        <vertAlign val="subscript"/>
        <sz val="10"/>
        <color theme="1"/>
        <rFont val="Arial"/>
        <family val="2"/>
      </rPr>
      <t>2</t>
    </r>
    <r>
      <rPr>
        <sz val="10"/>
        <color theme="1"/>
        <rFont val="Arial"/>
        <family val="2"/>
      </rPr>
      <t xml:space="preserve"> Eq = teragrams (10</t>
    </r>
    <r>
      <rPr>
        <vertAlign val="superscript"/>
        <sz val="10"/>
        <color theme="1"/>
        <rFont val="Arial"/>
        <family val="2"/>
      </rPr>
      <t>12</t>
    </r>
    <r>
      <rPr>
        <sz val="10"/>
        <color theme="1"/>
        <rFont val="Arial"/>
        <family val="2"/>
      </rPr>
      <t>) CO</t>
    </r>
    <r>
      <rPr>
        <vertAlign val="subscript"/>
        <sz val="10"/>
        <color theme="1"/>
        <rFont val="Arial"/>
        <family val="2"/>
      </rPr>
      <t>2</t>
    </r>
    <r>
      <rPr>
        <sz val="10"/>
        <color theme="1"/>
        <rFont val="Arial"/>
        <family val="2"/>
      </rPr>
      <t xml:space="preserve"> equivalent</t>
    </r>
    <r>
      <rPr>
        <sz val="10"/>
        <color theme="1"/>
        <rFont val="Arial"/>
        <family val="2"/>
      </rPr>
      <t xml:space="preserve">
QBTU = quadrillion (10</t>
    </r>
    <r>
      <rPr>
        <vertAlign val="superscript"/>
        <sz val="10"/>
        <color theme="1"/>
        <rFont val="Arial"/>
        <family val="2"/>
      </rPr>
      <t>15</t>
    </r>
    <r>
      <rPr>
        <sz val="10"/>
        <color theme="1"/>
        <rFont val="Arial"/>
        <family val="2"/>
      </rPr>
      <t>) BTUs</t>
    </r>
    <r>
      <rPr>
        <sz val="10"/>
        <color theme="1"/>
        <rFont val="Arial"/>
        <family val="2"/>
      </rPr>
      <t xml:space="preserve">
</t>
    </r>
    <r>
      <rPr>
        <sz val="10"/>
        <color theme="1"/>
        <rFont val="Arial"/>
        <family val="2"/>
      </rPr>
      <t xml:space="preserve">
Assume:</t>
    </r>
    <r>
      <rPr>
        <sz val="10"/>
        <color theme="1"/>
        <rFont val="Arial"/>
        <family val="2"/>
      </rPr>
      <t xml:space="preserve">
1) 1 scf gas = 1,235 BTU</t>
    </r>
    <r>
      <rPr>
        <sz val="10"/>
        <color theme="1"/>
        <rFont val="Arial"/>
        <family val="2"/>
      </rPr>
      <t xml:space="preserve">
(Source: 2004 API Compendium. Table 3-5. pg 3-16 (PDF pg 59) "Natural Gas (raw/unprocessed)")</t>
    </r>
    <r>
      <rPr>
        <sz val="10"/>
        <color theme="1"/>
        <rFont val="Arial"/>
        <family val="2"/>
      </rPr>
      <t xml:space="preserve">
2) Flaring emissions are assumed to be greater than venting emissions (i.e., venting emissions are excluded)</t>
    </r>
  </si>
  <si>
    <r>
      <t xml:space="preserve">Dehydrator vents
</t>
    </r>
    <r>
      <rPr>
        <sz val="10"/>
        <color theme="1"/>
        <rFont val="Arial"/>
        <family val="2"/>
      </rPr>
      <t>98.232 (c)(14)Dehydrator vents</t>
    </r>
    <r>
      <rPr>
        <sz val="10"/>
        <color theme="1"/>
        <rFont val="Arial"/>
        <family val="2"/>
      </rPr>
      <t xml:space="preserve">
</t>
    </r>
    <r>
      <rPr>
        <sz val="10"/>
        <color theme="1"/>
        <rFont val="Arial"/>
        <family val="2"/>
      </rPr>
      <t xml:space="preserve">
98.232 (c)(14)</t>
    </r>
  </si>
  <si>
    <t>Number of dehydrators, operating factor</t>
  </si>
  <si>
    <r>
      <t>CH</t>
    </r>
    <r>
      <rPr>
        <vertAlign val="subscript"/>
        <sz val="10"/>
        <color theme="1"/>
        <rFont val="Arial"/>
        <family val="2"/>
      </rPr>
      <t>4</t>
    </r>
    <r>
      <rPr>
        <sz val="10"/>
        <color theme="1"/>
        <rFont val="Arial"/>
        <family val="2"/>
      </rPr>
      <t xml:space="preserve"> EF * Number of dehydrators * Operating factorCH</t>
    </r>
    <r>
      <rPr>
        <vertAlign val="subscript"/>
        <sz val="10"/>
        <color theme="1"/>
        <rFont val="Arial"/>
        <family val="2"/>
      </rPr>
      <t>4</t>
    </r>
    <r>
      <rPr>
        <sz val="10"/>
        <color theme="1"/>
        <rFont val="Arial"/>
        <family val="2"/>
      </rPr>
      <t xml:space="preserve"> EF * Number of dehydrators * Operating factor</t>
    </r>
  </si>
  <si>
    <r>
      <t>tCO</t>
    </r>
    <r>
      <rPr>
        <vertAlign val="subscript"/>
        <sz val="10"/>
        <color theme="1"/>
        <rFont val="Arial"/>
        <family val="2"/>
      </rPr>
      <t>2</t>
    </r>
    <r>
      <rPr>
        <sz val="10"/>
        <color theme="1"/>
        <rFont val="Arial"/>
        <family val="2"/>
      </rPr>
      <t>e/MMcf gas processedtCO</t>
    </r>
    <r>
      <rPr>
        <vertAlign val="subscript"/>
        <sz val="10"/>
        <color theme="1"/>
        <rFont val="Arial"/>
        <family val="2"/>
      </rPr>
      <t>2</t>
    </r>
    <r>
      <rPr>
        <sz val="10"/>
        <color theme="1"/>
        <rFont val="Arial"/>
        <family val="2"/>
      </rPr>
      <t>e/MMcf gas processed</t>
    </r>
  </si>
  <si>
    <r>
      <t>EF: 0.000127 tonnes CH</t>
    </r>
    <r>
      <rPr>
        <b/>
        <vertAlign val="subscript"/>
        <sz val="10"/>
        <color theme="1"/>
        <rFont val="Arial"/>
        <family val="2"/>
      </rPr>
      <t>4</t>
    </r>
    <r>
      <rPr>
        <b/>
        <sz val="10"/>
        <color theme="1"/>
        <rFont val="Arial"/>
        <family val="2"/>
      </rPr>
      <t>/10^6 scf gas processed</t>
    </r>
    <r>
      <rPr>
        <sz val="10"/>
        <color theme="1"/>
        <rFont val="Arial"/>
        <family val="2"/>
      </rPr>
      <t xml:space="preserve"> (API. </t>
    </r>
    <r>
      <rPr>
        <i/>
        <sz val="10"/>
        <color theme="1"/>
        <rFont val="Arial"/>
        <family val="2"/>
      </rPr>
      <t>Compendium of GHG Emissions Methodologies for the Oil and Natural Gas Industry</t>
    </r>
    <r>
      <rPr>
        <sz val="10"/>
        <color theme="1"/>
        <rFont val="Arial"/>
        <family val="2"/>
      </rPr>
      <t>. August 2009. Table 5-13. pg 5-5 (PDF pg 211). EF: 0.000127 tonnes CH</t>
    </r>
    <r>
      <rPr>
        <b/>
        <vertAlign val="subscript"/>
        <sz val="10"/>
        <color theme="1"/>
        <rFont val="Arial"/>
        <family val="2"/>
      </rPr>
      <t>4</t>
    </r>
    <r>
      <rPr>
        <b/>
        <sz val="10"/>
        <color theme="1"/>
        <rFont val="Arial"/>
        <family val="2"/>
      </rPr>
      <t>/10^6 scf gas processed</t>
    </r>
    <r>
      <rPr>
        <sz val="10"/>
        <color theme="1"/>
        <rFont val="Arial"/>
        <family val="2"/>
      </rPr>
      <t xml:space="preserve"> (API. </t>
    </r>
    <r>
      <rPr>
        <i/>
        <sz val="10"/>
        <color theme="1"/>
        <rFont val="Arial"/>
        <family val="2"/>
      </rPr>
      <t>Compendium of GHG Emissions Methodologies for the Oil and Natural Gas Industry</t>
    </r>
    <r>
      <rPr>
        <sz val="10"/>
        <color theme="1"/>
        <rFont val="Arial"/>
        <family val="2"/>
      </rPr>
      <t>. August 2009. Table 5-13. pg 5-5 (PDF pg 211).</t>
    </r>
  </si>
  <si>
    <t>GRI GLYCalc-generated EF. Assumed mode of operation: "electric pump with a flash separator"</t>
  </si>
  <si>
    <r>
      <t xml:space="preserve">Acid gas removal vents
</t>
    </r>
    <r>
      <rPr>
        <sz val="10"/>
        <color theme="1"/>
        <rFont val="Arial"/>
        <family val="2"/>
      </rPr>
      <t>98.232 (c)(17)Acid gas removal vents</t>
    </r>
    <r>
      <rPr>
        <sz val="10"/>
        <color theme="1"/>
        <rFont val="Arial"/>
        <family val="2"/>
      </rPr>
      <t xml:space="preserve">
</t>
    </r>
    <r>
      <rPr>
        <sz val="10"/>
        <color theme="1"/>
        <rFont val="Arial"/>
        <family val="2"/>
      </rPr>
      <t xml:space="preserve">
98.232 (c)(17)</t>
    </r>
  </si>
  <si>
    <r>
      <t xml:space="preserve">Centrifugal compressor venting
</t>
    </r>
    <r>
      <rPr>
        <sz val="10"/>
        <color theme="1"/>
        <rFont val="Arial"/>
        <family val="2"/>
      </rPr>
      <t>98.232 (c)(19)Centrifugal compressor venting</t>
    </r>
    <r>
      <rPr>
        <sz val="10"/>
        <color theme="1"/>
        <rFont val="Arial"/>
        <family val="2"/>
      </rPr>
      <t xml:space="preserve">
</t>
    </r>
    <r>
      <rPr>
        <sz val="10"/>
        <color theme="1"/>
        <rFont val="Arial"/>
        <family val="2"/>
      </rPr>
      <t xml:space="preserve">
98.232 (c)(19)</t>
    </r>
  </si>
  <si>
    <r>
      <t>Mcf CH</t>
    </r>
    <r>
      <rPr>
        <vertAlign val="subscript"/>
        <sz val="10"/>
        <color theme="1"/>
        <rFont val="Arial"/>
        <family val="2"/>
      </rPr>
      <t>4</t>
    </r>
    <r>
      <rPr>
        <sz val="10"/>
        <color theme="1"/>
        <rFont val="Arial"/>
        <family val="2"/>
      </rPr>
      <t>/year-compressorMcf CH</t>
    </r>
    <r>
      <rPr>
        <vertAlign val="subscript"/>
        <sz val="10"/>
        <color theme="1"/>
        <rFont val="Arial"/>
        <family val="2"/>
      </rPr>
      <t>4</t>
    </r>
    <r>
      <rPr>
        <sz val="10"/>
        <color theme="1"/>
        <rFont val="Arial"/>
        <family val="2"/>
      </rPr>
      <t>/year-compressor</t>
    </r>
  </si>
  <si>
    <r>
      <t>EF: 150 Mcm CH</t>
    </r>
    <r>
      <rPr>
        <b/>
        <vertAlign val="subscript"/>
        <sz val="10"/>
        <color theme="1"/>
        <rFont val="Arial"/>
        <family val="2"/>
      </rPr>
      <t>4</t>
    </r>
    <r>
      <rPr>
        <b/>
        <sz val="10"/>
        <color theme="1"/>
        <rFont val="Arial"/>
        <family val="2"/>
      </rPr>
      <t xml:space="preserve">/year-compressor </t>
    </r>
    <r>
      <rPr>
        <sz val="10"/>
        <color theme="1"/>
        <rFont val="Arial"/>
        <family val="2"/>
      </rPr>
      <t xml:space="preserve">(EPA. </t>
    </r>
    <r>
      <rPr>
        <i/>
        <sz val="10"/>
        <color theme="1"/>
        <rFont val="Arial"/>
        <family val="2"/>
      </rPr>
      <t>Methane's Role in Promoting Sustainable Development in the Oil and Natural Gas Industry: World Gas Conference Paper.</t>
    </r>
    <r>
      <rPr>
        <sz val="10"/>
        <color theme="1"/>
        <rFont val="Arial"/>
        <family val="2"/>
      </rPr>
      <t xml:space="preserve"> October 2009. epa.gov/gasstar/tools/related.html)EF: 150 Mcm CH</t>
    </r>
    <r>
      <rPr>
        <b/>
        <vertAlign val="subscript"/>
        <sz val="10"/>
        <color theme="1"/>
        <rFont val="Arial"/>
        <family val="2"/>
      </rPr>
      <t>4</t>
    </r>
    <r>
      <rPr>
        <b/>
        <sz val="10"/>
        <color theme="1"/>
        <rFont val="Arial"/>
        <family val="2"/>
      </rPr>
      <t xml:space="preserve">/year-compressor </t>
    </r>
    <r>
      <rPr>
        <sz val="10"/>
        <color theme="1"/>
        <rFont val="Arial"/>
        <family val="2"/>
      </rPr>
      <t xml:space="preserve">(EPA. </t>
    </r>
    <r>
      <rPr>
        <i/>
        <sz val="10"/>
        <color theme="1"/>
        <rFont val="Arial"/>
        <family val="2"/>
      </rPr>
      <t>Methane's Role in Promoting Sustainable Development in the Oil and Natural Gas Industry: World Gas Conference Paper.</t>
    </r>
    <r>
      <rPr>
        <sz val="10"/>
        <color theme="1"/>
        <rFont val="Arial"/>
        <family val="2"/>
      </rPr>
      <t xml:space="preserve"> October 2009. epa.gov/gasstar/tools/related.html)</t>
    </r>
  </si>
  <si>
    <t>Low end of given range of wet seal centrifugal compressor emissions (Exhibit 10, page 17)
The lowest EF from the WGC paper was used because wellhead centrifugal compressors in production are generally smaller than G&amp;B and transmission/storage centrifugal compressors.Low end of given range of wet seal centrifugal compressor emissions (Exhibit 10, page 17)
The lowest EF from the WGC paper was used because wellhead centrifugal compressors in production are generally smaller than G&amp;B and transmission/storage centrifugal compressors.</t>
  </si>
  <si>
    <r>
      <t xml:space="preserve">Equipment Leaks (valves, connectors, flanges, etc.)
</t>
    </r>
    <r>
      <rPr>
        <sz val="10"/>
        <color theme="1"/>
        <rFont val="Arial"/>
        <family val="2"/>
      </rPr>
      <t>98.232 (c)(21)Equipment Leaks (valves, connectors, flanges, etc.)</t>
    </r>
    <r>
      <rPr>
        <sz val="10"/>
        <color theme="1"/>
        <rFont val="Arial"/>
        <family val="2"/>
      </rPr>
      <t xml:space="preserve">
</t>
    </r>
    <r>
      <rPr>
        <sz val="10"/>
        <color theme="1"/>
        <rFont val="Arial"/>
        <family val="2"/>
      </rPr>
      <t xml:space="preserve">
98.232 (c)(21)</t>
    </r>
  </si>
  <si>
    <r>
      <t>Percentage of 2008 U.S. CH</t>
    </r>
    <r>
      <rPr>
        <vertAlign val="subscript"/>
        <sz val="10"/>
        <color theme="1"/>
        <rFont val="Arial"/>
        <family val="2"/>
      </rPr>
      <t>4</t>
    </r>
    <r>
      <rPr>
        <sz val="10"/>
        <color theme="1"/>
        <rFont val="Arial"/>
        <family val="2"/>
      </rPr>
      <t xml:space="preserve"> production emissions / Total Petroleum and Gas WellsPercentage of 2008 U.S. CH</t>
    </r>
    <r>
      <rPr>
        <vertAlign val="subscript"/>
        <sz val="10"/>
        <color theme="1"/>
        <rFont val="Arial"/>
        <family val="2"/>
      </rPr>
      <t>4</t>
    </r>
    <r>
      <rPr>
        <sz val="10"/>
        <color theme="1"/>
        <rFont val="Arial"/>
        <family val="2"/>
      </rPr>
      <t xml:space="preserve"> production emissions / Total Petroleum and Gas Wells</t>
    </r>
  </si>
  <si>
    <r>
      <t>tCO</t>
    </r>
    <r>
      <rPr>
        <vertAlign val="subscript"/>
        <sz val="10"/>
        <color theme="1"/>
        <rFont val="Arial"/>
        <family val="2"/>
      </rPr>
      <t>2</t>
    </r>
    <r>
      <rPr>
        <sz val="10"/>
        <color theme="1"/>
        <rFont val="Arial"/>
        <family val="2"/>
      </rPr>
      <t>e/welltCO</t>
    </r>
    <r>
      <rPr>
        <vertAlign val="subscript"/>
        <sz val="10"/>
        <color theme="1"/>
        <rFont val="Arial"/>
        <family val="2"/>
      </rPr>
      <t>2</t>
    </r>
    <r>
      <rPr>
        <sz val="10"/>
        <color theme="1"/>
        <rFont val="Arial"/>
        <family val="2"/>
      </rPr>
      <t>e/well</t>
    </r>
  </si>
  <si>
    <t>EF: Other sources in the U.S. Inventory divided by the number of wells Natural Gas Wells and Petroleum Wells</t>
  </si>
  <si>
    <t>455,015 Non-associated Gas Wells; 525,000 Oil Wells</t>
  </si>
  <si>
    <r>
      <t xml:space="preserve">Combustion Emissions (CO2, CH4, and N2O from stationary and portable equipment at production wellheads)
</t>
    </r>
    <r>
      <rPr>
        <sz val="10"/>
        <color theme="1"/>
        <rFont val="Arial"/>
        <family val="2"/>
      </rPr>
      <t>98.232 (c)(22)Combustion Emissions (CO2, CH4, and N2O from stationary and portable equipment at production wellheads)</t>
    </r>
    <r>
      <rPr>
        <sz val="10"/>
        <color theme="1"/>
        <rFont val="Arial"/>
        <family val="2"/>
      </rPr>
      <t xml:space="preserve">
</t>
    </r>
    <r>
      <rPr>
        <sz val="10"/>
        <color theme="1"/>
        <rFont val="Arial"/>
        <family val="2"/>
      </rPr>
      <t xml:space="preserve">
98.232 (c)(22)</t>
    </r>
  </si>
  <si>
    <t xml:space="preserve">     Well drilling and completion equipment</t>
  </si>
  <si>
    <r>
      <t xml:space="preserve">Number of </t>
    </r>
    <r>
      <rPr>
        <sz val="10"/>
        <color theme="1"/>
        <rFont val="Arial"/>
        <family val="2"/>
      </rPr>
      <t>active drilling rig engines, operating factorNumber of active drilling rig engines, operating factor</t>
    </r>
  </si>
  <si>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Number of active drilling rig engines * Operating factor(CH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Number of active drilling rig engines * Operating factor</t>
    </r>
  </si>
  <si>
    <r>
      <t>tonnes CH</t>
    </r>
    <r>
      <rPr>
        <vertAlign val="subscript"/>
        <sz val="10"/>
        <color theme="1"/>
        <rFont val="Arial"/>
        <family val="2"/>
      </rPr>
      <t>4</t>
    </r>
    <r>
      <rPr>
        <sz val="10"/>
        <color theme="1"/>
        <rFont val="Arial"/>
        <family val="2"/>
      </rPr>
      <t>/rig enginetonnes CH</t>
    </r>
    <r>
      <rPr>
        <vertAlign val="subscript"/>
        <sz val="10"/>
        <color theme="1"/>
        <rFont val="Arial"/>
        <family val="2"/>
      </rPr>
      <t>4</t>
    </r>
    <r>
      <rPr>
        <sz val="10"/>
        <color theme="1"/>
        <rFont val="Arial"/>
        <family val="2"/>
      </rPr>
      <t>/rig engine</t>
    </r>
  </si>
  <si>
    <r>
      <t>0.0781 tonnes CO</t>
    </r>
    <r>
      <rPr>
        <vertAlign val="subscript"/>
        <sz val="10"/>
        <color theme="1"/>
        <rFont val="Arial"/>
        <family val="2"/>
      </rPr>
      <t>2</t>
    </r>
    <r>
      <rPr>
        <sz val="10"/>
        <color theme="1"/>
        <rFont val="Arial"/>
        <family val="2"/>
      </rPr>
      <t>/10^6 BTU
(EF for "diesel/gas oil")
2004 API Compendium.  Table 4-1. pg 4-7 (PDF pg 80)0.0781 tonnes CO</t>
    </r>
    <r>
      <rPr>
        <vertAlign val="subscript"/>
        <sz val="10"/>
        <color theme="1"/>
        <rFont val="Arial"/>
        <family val="2"/>
      </rPr>
      <t>2</t>
    </r>
    <r>
      <rPr>
        <sz val="10"/>
        <color theme="1"/>
        <rFont val="Arial"/>
        <family val="2"/>
      </rPr>
      <t>/10^6 BTU
(EF for "diesel/gas oil")
2004 API Compendium.  Table 4-1. pg 4-7 (PDF pg 80)</t>
    </r>
  </si>
  <si>
    <r>
      <t>CO</t>
    </r>
    <r>
      <rPr>
        <vertAlign val="subscript"/>
        <sz val="10"/>
        <color theme="1"/>
        <rFont val="Arial"/>
        <family val="2"/>
      </rPr>
      <t>2</t>
    </r>
    <r>
      <rPr>
        <sz val="10"/>
        <color theme="1"/>
        <rFont val="Arial"/>
        <family val="2"/>
      </rPr>
      <t xml:space="preserve"> EF per rig calculated from original combustion EF in Table 4-1 assuming:</t>
    </r>
    <r>
      <rPr>
        <sz val="10"/>
        <color theme="1"/>
        <rFont val="Arial"/>
        <family val="2"/>
      </rPr>
      <t xml:space="preserve">
1) avg of 1500 HP/rig</t>
    </r>
    <r>
      <rPr>
        <sz val="10"/>
        <color theme="1"/>
        <rFont val="Arial"/>
        <family val="2"/>
      </rPr>
      <t xml:space="preserve">
2) an operation duration of 90 days</t>
    </r>
    <r>
      <rPr>
        <sz val="10"/>
        <color theme="1"/>
        <rFont val="Arial"/>
        <family val="2"/>
      </rPr>
      <t xml:space="preserve">
3) 98% combustion efficiencyCO</t>
    </r>
    <r>
      <rPr>
        <vertAlign val="subscript"/>
        <sz val="10"/>
        <color theme="1"/>
        <rFont val="Arial"/>
        <family val="2"/>
      </rPr>
      <t>2</t>
    </r>
    <r>
      <rPr>
        <sz val="10"/>
        <color theme="1"/>
        <rFont val="Arial"/>
        <family val="2"/>
      </rPr>
      <t xml:space="preserve"> EF per rig calculated from original combustion EF in Table 4-1 assuming:</t>
    </r>
    <r>
      <rPr>
        <sz val="10"/>
        <color theme="1"/>
        <rFont val="Arial"/>
        <family val="2"/>
      </rPr>
      <t xml:space="preserve">
1) avg of 1500 HP/rig</t>
    </r>
    <r>
      <rPr>
        <sz val="10"/>
        <color theme="1"/>
        <rFont val="Arial"/>
        <family val="2"/>
      </rPr>
      <t xml:space="preserve">
2) an operation duration of 90 days</t>
    </r>
    <r>
      <rPr>
        <sz val="10"/>
        <color theme="1"/>
        <rFont val="Arial"/>
        <family val="2"/>
      </rPr>
      <t xml:space="preserve">
3) 98% combustion efficiency</t>
    </r>
  </si>
  <si>
    <t>tonnes CO2/rig engine</t>
  </si>
  <si>
    <r>
      <t>CO</t>
    </r>
    <r>
      <rPr>
        <vertAlign val="subscript"/>
        <sz val="10"/>
        <color theme="1"/>
        <rFont val="Arial"/>
        <family val="2"/>
      </rPr>
      <t>2</t>
    </r>
    <r>
      <rPr>
        <sz val="10"/>
        <color theme="1"/>
        <rFont val="Arial"/>
        <family val="2"/>
      </rPr>
      <t xml:space="preserve"> EF per rig calculated from original combustion EF in Table 4-1 assuming:</t>
    </r>
    <r>
      <rPr>
        <sz val="10"/>
        <color theme="1"/>
        <rFont val="Arial"/>
        <family val="2"/>
      </rPr>
      <t xml:space="preserve">
1) avg of 1500 HP/rig</t>
    </r>
    <r>
      <rPr>
        <sz val="10"/>
        <color theme="1"/>
        <rFont val="Arial"/>
        <family val="2"/>
      </rPr>
      <t xml:space="preserve">
2) an operation duration of 90 days</t>
    </r>
    <r>
      <rPr>
        <sz val="10"/>
        <color theme="1"/>
        <rFont val="Arial"/>
        <family val="2"/>
      </rPr>
      <t xml:space="preserve">
3) 1 HP = 745.7 Watts</t>
    </r>
    <r>
      <rPr>
        <sz val="10"/>
        <color theme="1"/>
        <rFont val="Arial"/>
        <family val="2"/>
      </rPr>
      <t xml:space="preserve">
4) 1 BTU = 0.293 Watt-hrsCO</t>
    </r>
    <r>
      <rPr>
        <vertAlign val="subscript"/>
        <sz val="10"/>
        <color theme="1"/>
        <rFont val="Arial"/>
        <family val="2"/>
      </rPr>
      <t>2</t>
    </r>
    <r>
      <rPr>
        <sz val="10"/>
        <color theme="1"/>
        <rFont val="Arial"/>
        <family val="2"/>
      </rPr>
      <t xml:space="preserve"> EF per rig calculated from original combustion EF in Table 4-1 assuming:</t>
    </r>
    <r>
      <rPr>
        <sz val="10"/>
        <color theme="1"/>
        <rFont val="Arial"/>
        <family val="2"/>
      </rPr>
      <t xml:space="preserve">
1) avg of 1500 HP/rig</t>
    </r>
    <r>
      <rPr>
        <sz val="10"/>
        <color theme="1"/>
        <rFont val="Arial"/>
        <family val="2"/>
      </rPr>
      <t xml:space="preserve">
2) an operation duration of 90 days</t>
    </r>
    <r>
      <rPr>
        <sz val="10"/>
        <color theme="1"/>
        <rFont val="Arial"/>
        <family val="2"/>
      </rPr>
      <t xml:space="preserve">
3) 1 HP = 745.7 Watts</t>
    </r>
    <r>
      <rPr>
        <sz val="10"/>
        <color theme="1"/>
        <rFont val="Arial"/>
        <family val="2"/>
      </rPr>
      <t xml:space="preserve">
4) 1 BTU = 0.293 Watt-hrs</t>
    </r>
  </si>
  <si>
    <t xml:space="preserve">     Workover equipment</t>
  </si>
  <si>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Number of active</t>
    </r>
    <r>
      <rPr>
        <sz val="10"/>
        <color rgb="FFFF0000"/>
        <rFont val="Arial"/>
        <family val="2"/>
      </rPr>
      <t xml:space="preserve"> </t>
    </r>
    <r>
      <rPr>
        <sz val="10"/>
        <color theme="1"/>
        <rFont val="Arial"/>
        <family val="2"/>
      </rPr>
      <t>drilling rig engines * Operating factor(CH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Number of active</t>
    </r>
    <r>
      <rPr>
        <sz val="10"/>
        <color rgb="FFFF0000"/>
        <rFont val="Arial"/>
        <family val="2"/>
      </rPr>
      <t xml:space="preserve"> </t>
    </r>
    <r>
      <rPr>
        <sz val="10"/>
        <color theme="1"/>
        <rFont val="Arial"/>
        <family val="2"/>
      </rPr>
      <t>drilling rig engines * Operating factor</t>
    </r>
  </si>
  <si>
    <t xml:space="preserve">     Wellhead compressors</t>
  </si>
  <si>
    <r>
      <t xml:space="preserve">Total annual horsepower-hour capacity for all </t>
    </r>
    <r>
      <rPr>
        <sz val="10"/>
        <color theme="1"/>
        <rFont val="Arial"/>
        <family val="2"/>
      </rPr>
      <t>active wellhead compressors, operating factorTotal annual horsepower-hour capacity for all active wellhead compressors, operating factor</t>
    </r>
  </si>
  <si>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Total annual horsepower-hour capacity for all active</t>
    </r>
    <r>
      <rPr>
        <sz val="10"/>
        <color rgb="FFFF0000"/>
        <rFont val="Arial"/>
        <family val="2"/>
      </rPr>
      <t xml:space="preserve"> </t>
    </r>
    <r>
      <rPr>
        <sz val="10"/>
        <color theme="1"/>
        <rFont val="Arial"/>
        <family val="2"/>
      </rPr>
      <t>wellhead compressors * Operating factor(CH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Total annual horsepower-hour capacity for all active</t>
    </r>
    <r>
      <rPr>
        <sz val="10"/>
        <color rgb="FFFF0000"/>
        <rFont val="Arial"/>
        <family val="2"/>
      </rPr>
      <t xml:space="preserve"> </t>
    </r>
    <r>
      <rPr>
        <sz val="10"/>
        <color theme="1"/>
        <rFont val="Arial"/>
        <family val="2"/>
      </rPr>
      <t>wellhead compressors * Operating factor</t>
    </r>
  </si>
  <si>
    <r>
      <t>scf CH</t>
    </r>
    <r>
      <rPr>
        <vertAlign val="subscript"/>
        <sz val="10"/>
        <color theme="1"/>
        <rFont val="Arial"/>
        <family val="2"/>
      </rPr>
      <t>4</t>
    </r>
    <r>
      <rPr>
        <sz val="10"/>
        <color theme="1"/>
        <rFont val="Arial"/>
        <family val="2"/>
      </rPr>
      <t>/HPhrscf CH</t>
    </r>
    <r>
      <rPr>
        <vertAlign val="subscript"/>
        <sz val="10"/>
        <color theme="1"/>
        <rFont val="Arial"/>
        <family val="2"/>
      </rPr>
      <t>4</t>
    </r>
    <r>
      <rPr>
        <sz val="10"/>
        <color theme="1"/>
        <rFont val="Arial"/>
        <family val="2"/>
      </rPr>
      <t>/HPhr</t>
    </r>
  </si>
  <si>
    <t>GRI/EPA, Methane Emissions from the Natural Gas Industry, Vol.11, April 1996. pg 11</t>
  </si>
  <si>
    <t>2006 Petroleum ("Gas Engines") &amp; NG ("Gas Engines", all regions) Inventories</t>
  </si>
  <si>
    <t>tCO2/MMHPhr</t>
  </si>
  <si>
    <r>
      <t>0.0531 tonnes CO</t>
    </r>
    <r>
      <rPr>
        <vertAlign val="subscript"/>
        <sz val="10"/>
        <color theme="1"/>
        <rFont val="Arial"/>
        <family val="2"/>
      </rPr>
      <t>2</t>
    </r>
    <r>
      <rPr>
        <sz val="10"/>
        <color theme="1"/>
        <rFont val="Arial"/>
        <family val="2"/>
      </rPr>
      <t>/10^6 BTU
[EF for "Natural Gas (Pipeline)" fuel; Low Heating Value]
2004 API Compendium.  Table 4-1. pg 4-8 (PDF pg 81)0.0531 tonnes CO</t>
    </r>
    <r>
      <rPr>
        <vertAlign val="subscript"/>
        <sz val="10"/>
        <color theme="1"/>
        <rFont val="Arial"/>
        <family val="2"/>
      </rPr>
      <t>2</t>
    </r>
    <r>
      <rPr>
        <sz val="10"/>
        <color theme="1"/>
        <rFont val="Arial"/>
        <family val="2"/>
      </rPr>
      <t>/10^6 BTU
[EF for "Natural Gas (Pipeline)" fuel; Low Heating Value]
2004 API Compendium.  Table 4-1. pg 4-8 (PDF pg 81)</t>
    </r>
  </si>
  <si>
    <r>
      <t>CO</t>
    </r>
    <r>
      <rPr>
        <vertAlign val="subscript"/>
        <sz val="10"/>
        <color theme="1"/>
        <rFont val="Arial"/>
        <family val="2"/>
      </rPr>
      <t>2</t>
    </r>
    <r>
      <rPr>
        <sz val="10"/>
        <color theme="1"/>
        <rFont val="Arial"/>
        <family val="2"/>
      </rPr>
      <t xml:space="preserve"> EF per compressor engine calculated from original combustion EF in Table 4-1 assuming:</t>
    </r>
    <r>
      <rPr>
        <sz val="10"/>
        <color theme="1"/>
        <rFont val="Arial"/>
        <family val="2"/>
      </rPr>
      <t xml:space="preserve">
1) 0.24 scf CH</t>
    </r>
    <r>
      <rPr>
        <vertAlign val="subscript"/>
        <sz val="10"/>
        <color theme="1"/>
        <rFont val="Arial"/>
        <family val="2"/>
      </rPr>
      <t>4</t>
    </r>
    <r>
      <rPr>
        <sz val="10"/>
        <color theme="1"/>
        <rFont val="Arial"/>
        <family val="2"/>
      </rPr>
      <t>/HPhr (1996 GRI. Vol: 11)</t>
    </r>
    <r>
      <rPr>
        <sz val="10"/>
        <color theme="1"/>
        <rFont val="Arial"/>
        <family val="2"/>
      </rPr>
      <t xml:space="preserve">
2) 98% combustion efficiency</t>
    </r>
    <r>
      <rPr>
        <sz val="10"/>
        <color theme="1"/>
        <rFont val="Arial"/>
        <family val="2"/>
      </rPr>
      <t xml:space="preserve">
3) 78.8% methane content in gas</t>
    </r>
    <r>
      <rPr>
        <sz val="10"/>
        <color theme="1"/>
        <rFont val="Arial"/>
        <family val="2"/>
      </rPr>
      <t xml:space="preserve">
Result: 15.23 scf natural gas/HPhr</t>
    </r>
    <r>
      <rPr>
        <sz val="10"/>
        <color theme="1"/>
        <rFont val="Arial"/>
        <family val="2"/>
      </rPr>
      <t xml:space="preserve">
Assume:</t>
    </r>
    <r>
      <rPr>
        <sz val="10"/>
        <color theme="1"/>
        <rFont val="Arial"/>
        <family val="2"/>
      </rPr>
      <t xml:space="preserve">
1) 1,050 BTU/scf gas</t>
    </r>
    <r>
      <rPr>
        <sz val="10"/>
        <color theme="1"/>
        <rFont val="Arial"/>
        <family val="2"/>
      </rPr>
      <t xml:space="preserve">
</t>
    </r>
    <r>
      <rPr>
        <b/>
        <sz val="10"/>
        <color theme="1"/>
        <rFont val="Arial"/>
        <family val="2"/>
      </rPr>
      <t>Result: 15,992 BTU/HPhrCO</t>
    </r>
    <r>
      <rPr>
        <vertAlign val="subscript"/>
        <sz val="10"/>
        <color theme="1"/>
        <rFont val="Arial"/>
        <family val="2"/>
      </rPr>
      <t>2</t>
    </r>
    <r>
      <rPr>
        <sz val="10"/>
        <color theme="1"/>
        <rFont val="Arial"/>
        <family val="2"/>
      </rPr>
      <t xml:space="preserve"> EF per compressor engine calculated from original combustion EF in Table 4-1 assuming:</t>
    </r>
    <r>
      <rPr>
        <sz val="10"/>
        <color theme="1"/>
        <rFont val="Arial"/>
        <family val="2"/>
      </rPr>
      <t xml:space="preserve">
1) 0.24 scf CH</t>
    </r>
    <r>
      <rPr>
        <vertAlign val="subscript"/>
        <sz val="10"/>
        <color theme="1"/>
        <rFont val="Arial"/>
        <family val="2"/>
      </rPr>
      <t>4</t>
    </r>
    <r>
      <rPr>
        <sz val="10"/>
        <color theme="1"/>
        <rFont val="Arial"/>
        <family val="2"/>
      </rPr>
      <t>/HPhr (1996 GRI. Vol: 11)</t>
    </r>
    <r>
      <rPr>
        <sz val="10"/>
        <color theme="1"/>
        <rFont val="Arial"/>
        <family val="2"/>
      </rPr>
      <t xml:space="preserve">
2) 98% combustion efficiency</t>
    </r>
    <r>
      <rPr>
        <sz val="10"/>
        <color theme="1"/>
        <rFont val="Arial"/>
        <family val="2"/>
      </rPr>
      <t xml:space="preserve">
3) 78.8% methane content in gas</t>
    </r>
    <r>
      <rPr>
        <sz val="10"/>
        <color theme="1"/>
        <rFont val="Arial"/>
        <family val="2"/>
      </rPr>
      <t xml:space="preserve">
Result: 15.23 scf natural gas/HPhr</t>
    </r>
    <r>
      <rPr>
        <sz val="10"/>
        <color theme="1"/>
        <rFont val="Arial"/>
        <family val="2"/>
      </rPr>
      <t xml:space="preserve">
Assume:</t>
    </r>
    <r>
      <rPr>
        <sz val="10"/>
        <color theme="1"/>
        <rFont val="Arial"/>
        <family val="2"/>
      </rPr>
      <t xml:space="preserve">
1) 1,050 BTU/scf gas</t>
    </r>
    <r>
      <rPr>
        <sz val="10"/>
        <color theme="1"/>
        <rFont val="Arial"/>
        <family val="2"/>
      </rPr>
      <t xml:space="preserve">
</t>
    </r>
    <r>
      <rPr>
        <b/>
        <sz val="10"/>
        <color theme="1"/>
        <rFont val="Arial"/>
        <family val="2"/>
      </rPr>
      <t>Result: 15,992 BTU/HPhr</t>
    </r>
  </si>
  <si>
    <t>Total number of active wellhead compressors in a year, operating factor</t>
  </si>
  <si>
    <r>
      <t>(CH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Total number of active wellhead compressors in a year * Operating factor(CH</t>
    </r>
    <r>
      <rPr>
        <vertAlign val="subscript"/>
        <sz val="10"/>
        <color theme="1"/>
        <rFont val="Arial"/>
        <family val="2"/>
      </rPr>
      <t>4</t>
    </r>
    <r>
      <rPr>
        <sz val="10"/>
        <color theme="1"/>
        <rFont val="Arial"/>
        <family val="2"/>
      </rPr>
      <t xml:space="preserve"> EF + CO</t>
    </r>
    <r>
      <rPr>
        <vertAlign val="subscript"/>
        <sz val="10"/>
        <color theme="1"/>
        <rFont val="Arial"/>
        <family val="2"/>
      </rPr>
      <t>2</t>
    </r>
    <r>
      <rPr>
        <sz val="10"/>
        <color theme="1"/>
        <rFont val="Arial"/>
        <family val="2"/>
      </rPr>
      <t xml:space="preserve"> EF) * Total number of active wellhead compressors in a year * Operating factor</t>
    </r>
  </si>
  <si>
    <r>
      <t>scf CH</t>
    </r>
    <r>
      <rPr>
        <vertAlign val="subscript"/>
        <sz val="10"/>
        <color theme="1"/>
        <rFont val="Arial"/>
        <family val="2"/>
      </rPr>
      <t>4</t>
    </r>
    <r>
      <rPr>
        <sz val="10"/>
        <color theme="1"/>
        <rFont val="Arial"/>
        <family val="2"/>
      </rPr>
      <t>/compressorscf CH</t>
    </r>
    <r>
      <rPr>
        <vertAlign val="subscript"/>
        <sz val="10"/>
        <color theme="1"/>
        <rFont val="Arial"/>
        <family val="2"/>
      </rPr>
      <t>4</t>
    </r>
    <r>
      <rPr>
        <sz val="10"/>
        <color theme="1"/>
        <rFont val="Arial"/>
        <family val="2"/>
      </rPr>
      <t>/compressor</t>
    </r>
  </si>
  <si>
    <r>
      <t>EF: GRI - 94 - Methane Emissions from the Natural Gas Industry, Volume 11, page no. 11
1) Compressor exhaust vented (gas engines): 0.24 scf CH</t>
    </r>
    <r>
      <rPr>
        <vertAlign val="subscript"/>
        <sz val="10"/>
        <color theme="1"/>
        <rFont val="Arial"/>
        <family val="2"/>
      </rPr>
      <t>4</t>
    </r>
    <r>
      <rPr>
        <sz val="10"/>
        <color theme="1"/>
        <rFont val="Arial"/>
        <family val="2"/>
      </rPr>
      <t>/HPhr
AFs: From 2008 NG Inventory
1) 52,434 total MMHPhr for all gas wells
2) 32,233 total compressors (small and large)EF: GRI - 94 - Methane Emissions from the Natural Gas Industry, Volume 11, page no. 11
1) Compressor exhaust vented (gas engines): 0.24 scf CH</t>
    </r>
    <r>
      <rPr>
        <vertAlign val="subscript"/>
        <sz val="10"/>
        <color theme="1"/>
        <rFont val="Arial"/>
        <family val="2"/>
      </rPr>
      <t>4</t>
    </r>
    <r>
      <rPr>
        <sz val="10"/>
        <color theme="1"/>
        <rFont val="Arial"/>
        <family val="2"/>
      </rPr>
      <t>/HPhr
AFs: From 2008 NG Inventory
1) 52,434 total MMHPhr for all gas wells
2) 32,233 total compressors (small and large)</t>
    </r>
  </si>
  <si>
    <t>EF: 2008 Petroleum ("Gas Engines") &amp; NG ("Gas Engines", all regions) Inventories
AFs:
-"Gas Engines" MMHPhr for All gas wells (Assumes that there are no gas engines in the North East Region. Low pressure gas from wells in this region is not used to drive engines)
-"Small Reciprocating Comp." (Improvement from 033006.NEMS Regional Activity Factors.mem and background Excel File, GRI - 94 - Methane Emissions from the Natural Gas Industry - Volume 5)
-"Large Reciprocating Comp." (GRI - 94 - Methane Emissions from the Natural Gas Industry, Volume 5, page no. 69 AND GRI - 94 - Methane Emissions from the Natural Gas Industry, Volume 8, page no. 73, table 5-1)EF: 2008 Petroleum ("Gas Engines") &amp; NG ("Gas Engines", all regions) Inventories
AFs:
-"Gas Engines" MMHPhr for All gas wells (Assumes that there are no gas engines in the North East Region. Low pressure gas from wells in this region is not used to drive engines)
-"Small Reciprocating Comp." (Improvement from 033006.NEMS Regional Activity Factors.mem and background Excel File, GRI - 94 - Methane Emissions from the Natural Gas Industry - Volume 5)
-"Large Reciprocating Comp." (GRI - 94 - Methane Emissions from the Natural Gas Industry, Volume 5, page no. 69 AND GRI - 94 - Methane Emissions from the Natural Gas Industry, Volume 8, page no. 73, table 5-1)</t>
  </si>
  <si>
    <t>tCO2/compressor</t>
  </si>
  <si>
    <r>
      <t>EF:
1) GRI - 94 - Methane Emissions from the Natural Gas Industry, Volume 11, page no. 11
Compressor exhaust vented (gas engines) = 0.24 scf CH</t>
    </r>
    <r>
      <rPr>
        <vertAlign val="subscript"/>
        <sz val="10"/>
        <color theme="1"/>
        <rFont val="Arial"/>
        <family val="2"/>
      </rPr>
      <t>4</t>
    </r>
    <r>
      <rPr>
        <sz val="10"/>
        <color theme="1"/>
        <rFont val="Arial"/>
        <family val="2"/>
      </rPr>
      <t>/HPhr
2) 2004 API Compendium.  Table 4-1. pg 4-8 (PDF pg 81)
EF for "Natural Gas (Pipeline)" fuel; Low Heating Value] = 0.0531 tonnes CO</t>
    </r>
    <r>
      <rPr>
        <vertAlign val="subscript"/>
        <sz val="10"/>
        <color theme="1"/>
        <rFont val="Arial"/>
        <family val="2"/>
      </rPr>
      <t>2</t>
    </r>
    <r>
      <rPr>
        <sz val="10"/>
        <color theme="1"/>
        <rFont val="Arial"/>
        <family val="2"/>
      </rPr>
      <t>/10^6 BTU
AFs: From 2008 NG Inventory
1) 52,434 total MMHPhr for all gas wells
2) 32,233 total compressors (small and large)EF:
1) GRI - 94 - Methane Emissions from the Natural Gas Industry, Volume 11, page no. 11
Compressor exhaust vented (gas engines) = 0.24 scf CH</t>
    </r>
    <r>
      <rPr>
        <vertAlign val="subscript"/>
        <sz val="10"/>
        <color theme="1"/>
        <rFont val="Arial"/>
        <family val="2"/>
      </rPr>
      <t>4</t>
    </r>
    <r>
      <rPr>
        <sz val="10"/>
        <color theme="1"/>
        <rFont val="Arial"/>
        <family val="2"/>
      </rPr>
      <t>/HPhr
2) 2004 API Compendium.  Table 4-1. pg 4-8 (PDF pg 81)
EF for "Natural Gas (Pipeline)" fuel; Low Heating Value] = 0.0531 tonnes CO</t>
    </r>
    <r>
      <rPr>
        <vertAlign val="subscript"/>
        <sz val="10"/>
        <color theme="1"/>
        <rFont val="Arial"/>
        <family val="2"/>
      </rPr>
      <t>2</t>
    </r>
    <r>
      <rPr>
        <sz val="10"/>
        <color theme="1"/>
        <rFont val="Arial"/>
        <family val="2"/>
      </rPr>
      <t>/10^6 BTU
AFs: From 2008 NG Inventory
1) 52,434 total MMHPhr for all gas wells
2) 32,233 total compressors (small and large)</t>
    </r>
  </si>
  <si>
    <r>
      <t xml:space="preserve">1) </t>
    </r>
    <r>
      <rPr>
        <sz val="10"/>
        <color theme="1"/>
        <rFont val="Arial"/>
        <family val="2"/>
      </rPr>
      <t>This tool is on a basin basis to simulate reporting requirements in the Rule.1) This tool is on a basin basis to simulate reporting requirements in the Rule.</t>
    </r>
  </si>
  <si>
    <r>
      <t>2)</t>
    </r>
    <r>
      <rPr>
        <sz val="10"/>
        <color theme="1"/>
        <rFont val="Arial"/>
        <family val="2"/>
      </rPr>
      <t xml:space="preserve"> This tool excludes gas well venting during well completions &amp; workovers for wells w/o hydraulic fracturing (Sources #5 and #7).  This is because the emissions per well are miniscule when compared to the emissions from wells WITH hydraulic fracturing (Sources #6 and 8).2) This tool excludes gas well venting during well completions &amp; workovers for wells w/o hydraulic fracturing (Sources #5 and #7).  This is because the emissions per well are miniscule when compared to the emissions from wells WITH hydraulic fracturing (Sources #6 and 8).</t>
    </r>
  </si>
  <si>
    <r>
      <t>3)</t>
    </r>
    <r>
      <rPr>
        <sz val="10"/>
        <color theme="1"/>
        <rFont val="Arial"/>
        <family val="2"/>
      </rPr>
      <t xml:space="preserve"> The following sources were not explicitly included in the screening tool and are grouped into "Other sources" on the "Emissions Calcs" sheet:</t>
    </r>
    <r>
      <rPr>
        <sz val="10"/>
        <color theme="1"/>
        <rFont val="Arial"/>
        <family val="2"/>
      </rPr>
      <t xml:space="preserve">
Well testing venting and flaring (#12), EOR injection pump blowdown (#16), Acid gas removal vent stack (#17), EOR hydrocarbon liquids dissolved CO</t>
    </r>
    <r>
      <rPr>
        <vertAlign val="subscript"/>
        <sz val="10"/>
        <color theme="1"/>
        <rFont val="Arial"/>
        <family val="2"/>
      </rPr>
      <t>2</t>
    </r>
    <r>
      <rPr>
        <sz val="10"/>
        <color theme="1"/>
        <rFont val="Arial"/>
        <family val="2"/>
      </rPr>
      <t xml:space="preserve"> (#18), Equipment Leaks (valves, connectors, flanges, etc.) [#21]3) The following sources were not explicitly included in the screening tool and are grouped into "Other sources" on the "Emissions Calcs" sheet:</t>
    </r>
    <r>
      <rPr>
        <sz val="10"/>
        <color theme="1"/>
        <rFont val="Arial"/>
        <family val="2"/>
      </rPr>
      <t xml:space="preserve">
Well testing venting and flaring (#12), EOR injection pump blowdown (#16), Acid gas removal vent stack (#17), EOR hydrocarbon liquids dissolved CO</t>
    </r>
    <r>
      <rPr>
        <vertAlign val="subscript"/>
        <sz val="10"/>
        <color theme="1"/>
        <rFont val="Arial"/>
        <family val="2"/>
      </rPr>
      <t>2</t>
    </r>
    <r>
      <rPr>
        <sz val="10"/>
        <color theme="1"/>
        <rFont val="Arial"/>
        <family val="2"/>
      </rPr>
      <t xml:space="preserve"> (#18), Equipment Leaks (valves, connectors, flanges, etc.) [#21]</t>
    </r>
  </si>
  <si>
    <r>
      <t>4)</t>
    </r>
    <r>
      <rPr>
        <sz val="10"/>
        <color theme="1"/>
        <rFont val="Arial"/>
        <family val="2"/>
      </rPr>
      <t xml:space="preserve"> Combustion emissions are calculated using CO</t>
    </r>
    <r>
      <rPr>
        <vertAlign val="subscript"/>
        <sz val="10"/>
        <color theme="1"/>
        <rFont val="Arial"/>
        <family val="2"/>
      </rPr>
      <t>2</t>
    </r>
    <r>
      <rPr>
        <sz val="10"/>
        <color theme="1"/>
        <rFont val="Arial"/>
        <family val="2"/>
      </rPr>
      <t xml:space="preserve"> and CH</t>
    </r>
    <r>
      <rPr>
        <vertAlign val="subscript"/>
        <sz val="10"/>
        <color theme="1"/>
        <rFont val="Arial"/>
        <family val="2"/>
      </rPr>
      <t>4</t>
    </r>
    <r>
      <rPr>
        <sz val="10"/>
        <color theme="1"/>
        <rFont val="Arial"/>
        <family val="2"/>
      </rPr>
      <t xml:space="preserve"> EFs with the assumption of 98% efficiency.  N</t>
    </r>
    <r>
      <rPr>
        <vertAlign val="subscript"/>
        <sz val="10"/>
        <color theme="1"/>
        <rFont val="Arial"/>
        <family val="2"/>
      </rPr>
      <t>2</t>
    </r>
    <r>
      <rPr>
        <sz val="10"/>
        <color theme="1"/>
        <rFont val="Arial"/>
        <family val="2"/>
      </rPr>
      <t>O emissions are excluded for these sources.</t>
    </r>
  </si>
  <si>
    <r>
      <t>5)</t>
    </r>
    <r>
      <rPr>
        <sz val="10"/>
        <color theme="1"/>
        <rFont val="Arial"/>
        <family val="2"/>
      </rPr>
      <t xml:space="preserve"> There is a 5 million BTU/hour heat content requirement for combustion sources in the rule.  This provision allows for the inclusion of combustion emissions sources for: 1) drilling rigs, 2) completions/workovers (for hydraulic fracturing only), 3) wellhead compressors.  Dehydrators, electrical generators, steam boilers, and heaters are excluded.  It is assumed that these sources burn only field gas with an average heat content of 1500 BTU/hour.</t>
    </r>
  </si>
  <si>
    <t xml:space="preserve">
</t>
  </si>
  <si>
    <r>
      <t>6)</t>
    </r>
    <r>
      <rPr>
        <sz val="10"/>
        <color theme="1"/>
        <rFont val="Arial"/>
        <family val="2"/>
      </rPr>
      <t xml:space="preserve"> Well drilling and completion equipment" and "workover equipment" assume diesel/gas oil is used as fuel by all drilling rigs.</t>
    </r>
  </si>
  <si>
    <t>Emissions Data:</t>
  </si>
  <si>
    <t>Sources:</t>
  </si>
  <si>
    <t>EPA. Inventory of U.S. Greenhouse Gas Emissions and Sinks: 1990-2006. April 2008. epa.gov/climatechange/emissions/usgginv_archive.html</t>
  </si>
  <si>
    <t>2008 Emissions (Bcf):</t>
  </si>
  <si>
    <t>Gas well completions and Workovers</t>
  </si>
  <si>
    <t>Gas well liquid unloading</t>
  </si>
  <si>
    <t>Pneumatic devices</t>
  </si>
  <si>
    <t>Storage tank venting</t>
  </si>
  <si>
    <t>Compressor fugitives, venting, and engine exhaust</t>
  </si>
  <si>
    <t>Dehydrators and pumps</t>
  </si>
  <si>
    <t>Meters and pipeline leaks</t>
  </si>
  <si>
    <t>Other sources</t>
  </si>
  <si>
    <t>Offshore operations (federal)</t>
  </si>
  <si>
    <t>Total</t>
  </si>
  <si>
    <t>Total (minus Offshore operations)</t>
  </si>
  <si>
    <r>
      <rPr>
        <vertAlign val="superscript"/>
        <sz val="10"/>
        <color theme="1"/>
        <rFont val="Arial"/>
        <family val="2"/>
      </rPr>
      <t>1</t>
    </r>
    <r>
      <rPr>
        <sz val="10"/>
        <color theme="1"/>
        <rFont val="Arial"/>
        <family val="2"/>
      </rPr>
      <t xml:space="preserve">These percentages are used for calculating emissions since this tool is for onshore production facilities and cannot include offshore emissions.  </t>
    </r>
  </si>
  <si>
    <t>Conversions:</t>
  </si>
  <si>
    <t>From</t>
  </si>
  <si>
    <t>To</t>
  </si>
  <si>
    <t>Factor</t>
  </si>
  <si>
    <r>
      <t>scf CH</t>
    </r>
    <r>
      <rPr>
        <vertAlign val="subscript"/>
        <sz val="10"/>
        <color theme="1"/>
        <rFont val="Arial"/>
        <family val="2"/>
      </rPr>
      <t>4</t>
    </r>
  </si>
  <si>
    <r>
      <t>tCO</t>
    </r>
    <r>
      <rPr>
        <vertAlign val="subscript"/>
        <sz val="10"/>
        <color theme="1"/>
        <rFont val="Arial"/>
        <family val="2"/>
      </rPr>
      <t>2</t>
    </r>
    <r>
      <rPr>
        <sz val="10"/>
        <color theme="1"/>
        <rFont val="Arial"/>
        <family val="2"/>
      </rPr>
      <t>e</t>
    </r>
  </si>
  <si>
    <r>
      <t>scf CO</t>
    </r>
    <r>
      <rPr>
        <vertAlign val="subscript"/>
        <sz val="10"/>
        <color theme="1"/>
        <rFont val="Arial"/>
        <family val="2"/>
      </rPr>
      <t>2</t>
    </r>
    <r>
      <rPr>
        <vertAlign val="superscript"/>
        <sz val="10"/>
        <color theme="1"/>
        <rFont val="Arial"/>
        <family val="2"/>
      </rPr>
      <t>1</t>
    </r>
  </si>
  <si>
    <r>
      <t>g CH</t>
    </r>
    <r>
      <rPr>
        <vertAlign val="subscript"/>
        <sz val="10"/>
        <color theme="1"/>
        <rFont val="Arial"/>
        <family val="2"/>
      </rPr>
      <t>4</t>
    </r>
  </si>
  <si>
    <r>
      <t>g CO</t>
    </r>
    <r>
      <rPr>
        <vertAlign val="subscript"/>
        <sz val="10"/>
        <color theme="1"/>
        <rFont val="Arial"/>
        <family val="2"/>
      </rPr>
      <t>2</t>
    </r>
    <r>
      <rPr>
        <sz val="10"/>
        <color theme="1"/>
        <rFont val="Arial"/>
        <family val="2"/>
      </rPr>
      <t>e</t>
    </r>
  </si>
  <si>
    <r>
      <rPr>
        <vertAlign val="superscript"/>
        <sz val="10"/>
        <color theme="1"/>
        <rFont val="Arial"/>
        <family val="2"/>
      </rPr>
      <t>1</t>
    </r>
    <r>
      <rPr>
        <sz val="10"/>
        <color theme="1"/>
        <rFont val="Arial"/>
        <family val="2"/>
      </rPr>
      <t>Used a CO</t>
    </r>
    <r>
      <rPr>
        <vertAlign val="subscript"/>
        <sz val="10"/>
        <color theme="1"/>
        <rFont val="Arial"/>
        <family val="2"/>
      </rPr>
      <t>2</t>
    </r>
    <r>
      <rPr>
        <sz val="10"/>
        <color theme="1"/>
        <rFont val="Arial"/>
        <family val="2"/>
      </rPr>
      <t xml:space="preserve"> gas density of 52.62 g/ft^3 to convert from volume to mass (@ 1.013 bar and 59°F).  Source: encyclopedia.airliquide.com</t>
    </r>
  </si>
  <si>
    <r>
      <t xml:space="preserve">Applicability Tool Disclaimer
</t>
    </r>
    <r>
      <rPr>
        <sz val="10"/>
        <color theme="1"/>
        <rFont val="Arial"/>
        <family val="2"/>
      </rPr>
      <t>The content provided in the applicability tool is intended solely as compliance assistance for potential reporters to aid in assessing whether they are required to report under the Greenhouse Gas Mandatory Reporting Rule. Any variation between the rule and the information provided in this tool is unintentional, and, in the case of such variations, the requirements of the rule govern. The applicability tool and its contents do not constitute rulemaking or a decision by EPA and may not be relied upon to create a substantive or procedural right or benefit enforceable by law, or in equity, by any person. While this tool is designed to help potential reporters comply with the rule, compliance with all Federal, State, and Local laws and regulations remains the sole responsibility of each facility owner or operator subject to those laws and regulations. Use of this tool does not constitute an assessment by EPA of the applicability of the rule to any particular facility. In any particular case, EPA will make its assessment by applying the law and regulations to the specific facts of the case. No information entered by the user is maintained by EPA, and any results generated by the applicability tool, along with additional information</t>
    </r>
    <r>
      <rPr>
        <sz val="10"/>
        <color theme="1"/>
        <rFont val="Arial"/>
        <family val="2"/>
      </rPr>
      <t xml:space="preserve">
entered by the user, do not constitute a submission for purposes of compliance with the rule.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</si>
</sst>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409]#,##0"/>
    <numFmt numFmtId="165" formatCode="[$-409]#,##0.00"/>
    <numFmt numFmtId="166" formatCode="yyyy"/>
    <numFmt numFmtId="167" formatCode="[$-409]m/d/yyyy"/>
    <numFmt numFmtId="168" formatCode="[$-409]0"/>
    <numFmt numFmtId="169" formatCode="[$-409]General"/>
    <numFmt numFmtId="170" formatCode="0.00000000"/>
    <numFmt numFmtId="171" formatCode="[$-409]0.00"/>
    <numFmt numFmtId="172" formatCode="[$-409]0%"/>
    <numFmt numFmtId="173" formatCode="0.000000000"/>
    <numFmt numFmtId="174" formatCode="mm/dd/yy"/>
    <numFmt numFmtId="175" formatCode="General&quot; &quot;"/>
    <numFmt numFmtId="176" formatCode="[$-409]0.00%"/>
    <numFmt numFmtId="177" formatCode="0.0"/>
    <numFmt numFmtId="178" formatCode="&quot;$&quot;#,##0.00&quot; &quot;;[Red]&quot;($&quot;#,##0.00&quot;)&quot;"/>
    <numFmt numFmtId="179" formatCode="&quot; &quot;#,##0.00&quot; &quot;;&quot; (&quot;#,##0.00&quot;)&quot;;&quot; -&quot;#&quot; &quot;;&quot; &quot;@&quot; &quot;"/>
    <numFmt numFmtId="180" formatCode="[$$-409]#,##0.00;[Red]&quot;-&quot;[$$-409]#,##0.00"/>
  </numFmts>
  <fonts count="36">
    <font>
      <sz val="11"/>
      <color theme="1"/>
      <name val="Arial"/>
      <family val="2"/>
    </font>
    <font>
      <sz val="11"/>
      <color theme="1"/>
      <name val="Arial"/>
      <family val="2"/>
    </font>
    <font>
      <u/>
      <sz val="10"/>
      <color rgb="FF0000FF"/>
      <name val="Arial"/>
      <family val="2"/>
    </font>
    <font>
      <b/>
      <i/>
      <sz val="16"/>
      <color theme="1"/>
      <name val="Arial"/>
      <family val="2"/>
    </font>
    <font>
      <sz val="10"/>
      <color theme="1"/>
      <name val="Arial"/>
      <family val="2"/>
    </font>
    <font>
      <sz val="11"/>
      <color rgb="FF000000"/>
      <name val="Calibri"/>
      <family val="2"/>
    </font>
    <font>
      <b/>
      <i/>
      <u/>
      <sz val="11"/>
      <color theme="1"/>
      <name val="Arial"/>
      <family val="2"/>
    </font>
    <font>
      <b/>
      <sz val="14"/>
      <color rgb="FF000080"/>
      <name val="Arial"/>
      <family val="2"/>
    </font>
    <font>
      <b/>
      <i/>
      <sz val="12"/>
      <color rgb="FFFF0000"/>
      <name val="Arial"/>
      <family val="2"/>
    </font>
    <font>
      <b/>
      <sz val="10"/>
      <color rgb="FFFFFFFF"/>
      <name val="Arial"/>
      <family val="2"/>
    </font>
    <font>
      <sz val="10"/>
      <color rgb="FFFFFFFF"/>
      <name val="Arial"/>
      <family val="2"/>
    </font>
    <font>
      <sz val="10"/>
      <color rgb="FF333333"/>
      <name val="Arial"/>
      <family val="2"/>
    </font>
    <font>
      <b/>
      <sz val="12"/>
      <color rgb="FF000080"/>
      <name val="Arial"/>
      <family val="2"/>
    </font>
    <font>
      <b/>
      <sz val="9"/>
      <color theme="1"/>
      <name val="Arial"/>
      <family val="2"/>
    </font>
    <font>
      <sz val="9"/>
      <color theme="1"/>
      <name val="Arial"/>
      <family val="2"/>
    </font>
    <font>
      <b/>
      <sz val="10"/>
      <color theme="1"/>
      <name val="Arial"/>
      <family val="2"/>
    </font>
    <font>
      <b/>
      <sz val="9"/>
      <color rgb="FF000000"/>
      <name val="Arial"/>
      <family val="2"/>
    </font>
    <font>
      <sz val="9"/>
      <color rgb="FF000000"/>
      <name val="Arial"/>
      <family val="2"/>
    </font>
    <font>
      <sz val="10"/>
      <color rgb="FFFF0000"/>
      <name val="Arial"/>
      <family val="2"/>
    </font>
    <font>
      <b/>
      <sz val="14"/>
      <color theme="1"/>
      <name val="Arial"/>
      <family val="2"/>
    </font>
    <font>
      <b/>
      <sz val="12"/>
      <color theme="1"/>
      <name val="Calibri"/>
      <family val="2"/>
    </font>
    <font>
      <b/>
      <u/>
      <sz val="10"/>
      <color theme="1"/>
      <name val="Arial"/>
      <family val="2"/>
    </font>
    <font>
      <vertAlign val="subscript"/>
      <sz val="10"/>
      <color theme="1"/>
      <name val="Arial"/>
      <family val="2"/>
    </font>
    <font>
      <b/>
      <sz val="14"/>
      <color rgb="FFFFFFFF"/>
      <name val="Arial"/>
      <family val="2"/>
    </font>
    <font>
      <b/>
      <vertAlign val="subscript"/>
      <sz val="14"/>
      <color rgb="FFFFFFFF"/>
      <name val="Arial"/>
      <family val="2"/>
    </font>
    <font>
      <b/>
      <sz val="11"/>
      <color theme="1"/>
      <name val="Arial"/>
      <family val="2"/>
    </font>
    <font>
      <i/>
      <sz val="10"/>
      <color theme="1"/>
      <name val="Arial"/>
      <family val="2"/>
    </font>
    <font>
      <b/>
      <vertAlign val="subscript"/>
      <sz val="10"/>
      <color theme="1"/>
      <name val="Arial"/>
      <family val="2"/>
    </font>
    <font>
      <b/>
      <sz val="10"/>
      <color rgb="FFFF0000"/>
      <name val="Arial"/>
      <family val="2"/>
    </font>
    <font>
      <b/>
      <sz val="12"/>
      <color rgb="FFFFFFFF"/>
      <name val="Arial"/>
      <family val="2"/>
    </font>
    <font>
      <b/>
      <vertAlign val="subscript"/>
      <sz val="12"/>
      <color rgb="FFFFFFFF"/>
      <name val="Arial"/>
      <family val="2"/>
    </font>
    <font>
      <i/>
      <sz val="16"/>
      <color theme="1"/>
      <name val="Arial"/>
      <family val="2"/>
    </font>
    <font>
      <vertAlign val="superscript"/>
      <sz val="10"/>
      <color theme="1"/>
      <name val="Arial"/>
      <family val="2"/>
    </font>
    <font>
      <b/>
      <sz val="12"/>
      <color theme="1"/>
      <name val="Arial"/>
      <family val="2"/>
    </font>
    <font>
      <sz val="10"/>
      <color theme="1"/>
      <name val="Arial1"/>
    </font>
    <font>
      <b/>
      <sz val="16"/>
      <color theme="1"/>
      <name val="Arial"/>
      <family val="2"/>
    </font>
  </fonts>
  <fills count="9">
    <fill>
      <patternFill patternType="none"/>
    </fill>
    <fill>
      <patternFill patternType="gray125"/>
    </fill>
    <fill>
      <patternFill patternType="solid">
        <fgColor rgb="FF000080"/>
        <bgColor rgb="FF000080"/>
      </patternFill>
    </fill>
    <fill>
      <patternFill patternType="solid">
        <fgColor rgb="FFFFFFCC"/>
        <bgColor rgb="FFFFFFCC"/>
      </patternFill>
    </fill>
    <fill>
      <patternFill patternType="solid">
        <fgColor rgb="FFFFFFFF"/>
        <bgColor rgb="FFFFFFFF"/>
      </patternFill>
    </fill>
    <fill>
      <patternFill patternType="solid">
        <fgColor rgb="FF000000"/>
        <bgColor rgb="FF000000"/>
      </patternFill>
    </fill>
    <fill>
      <patternFill patternType="solid">
        <fgColor rgb="FFC0C0C0"/>
        <bgColor rgb="FFC0C0C0"/>
      </patternFill>
    </fill>
    <fill>
      <patternFill patternType="solid">
        <fgColor rgb="FFFFFF00"/>
        <bgColor rgb="FFFFFF00"/>
      </patternFill>
    </fill>
    <fill>
      <patternFill patternType="solid">
        <fgColor rgb="FFCCFFCC"/>
        <bgColor rgb="FFCCFFCC"/>
      </patternFill>
    </fill>
  </fills>
  <borders count="24">
    <border>
      <left/>
      <right/>
      <top/>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s>
  <cellStyleXfs count="13">
    <xf numFmtId="0" fontId="0" fillId="0" borderId="0"/>
    <xf numFmtId="179" fontId="1" fillId="0" borderId="0"/>
    <xf numFmtId="0" fontId="1" fillId="0" borderId="0"/>
    <xf numFmtId="0" fontId="2" fillId="0" borderId="0"/>
    <xf numFmtId="0" fontId="1" fillId="0" borderId="0"/>
    <xf numFmtId="0" fontId="1" fillId="0" borderId="0"/>
    <xf numFmtId="0" fontId="3" fillId="0" borderId="0">
      <alignment horizontal="center"/>
    </xf>
    <xf numFmtId="0" fontId="3" fillId="0" borderId="0">
      <alignment horizontal="center" textRotation="90"/>
    </xf>
    <xf numFmtId="169" fontId="4" fillId="0" borderId="0"/>
    <xf numFmtId="169" fontId="5" fillId="0" borderId="0"/>
    <xf numFmtId="172" fontId="1" fillId="0" borderId="0"/>
    <xf numFmtId="0" fontId="6" fillId="0" borderId="0"/>
    <xf numFmtId="180" fontId="6" fillId="0" borderId="0"/>
  </cellStyleXfs>
  <cellXfs count="243">
    <xf numFmtId="0" fontId="0" fillId="0" borderId="0" xfId="0"/>
    <xf numFmtId="0" fontId="7" fillId="0" borderId="0" xfId="0" applyFont="1" applyAlignment="1">
      <alignment horizontal="left"/>
    </xf>
    <xf numFmtId="0" fontId="8" fillId="0" borderId="0" xfId="0" applyFont="1" applyAlignment="1">
      <alignment horizontal="left"/>
    </xf>
    <xf numFmtId="0" fontId="4" fillId="0" borderId="0" xfId="0" applyFont="1"/>
    <xf numFmtId="0" fontId="4" fillId="0" borderId="0" xfId="0" applyFont="1" applyAlignment="1">
      <alignment horizontal="left"/>
    </xf>
    <xf numFmtId="0" fontId="9" fillId="2" borderId="0" xfId="0" applyFont="1" applyFill="1" applyAlignment="1">
      <alignment horizontal="left"/>
    </xf>
    <xf numFmtId="0" fontId="9" fillId="2" borderId="0" xfId="0" applyFont="1" applyFill="1"/>
    <xf numFmtId="0" fontId="9" fillId="2" borderId="0" xfId="0" applyFont="1" applyFill="1" applyAlignment="1">
      <alignment horizontal="center"/>
    </xf>
    <xf numFmtId="0" fontId="4" fillId="3" borderId="0" xfId="0" applyFont="1" applyFill="1" applyAlignment="1">
      <alignment horizontal="left"/>
    </xf>
    <xf numFmtId="0" fontId="4" fillId="3" borderId="0" xfId="0" applyFont="1" applyFill="1" applyAlignment="1">
      <alignment horizontal="center"/>
    </xf>
    <xf numFmtId="0" fontId="10" fillId="0" borderId="0" xfId="0" applyFont="1"/>
    <xf numFmtId="0" fontId="11" fillId="0" borderId="0" xfId="0" applyFont="1"/>
    <xf numFmtId="169" fontId="2" fillId="0" borderId="0" xfId="3" applyNumberFormat="1" applyFill="1" applyBorder="1" applyAlignment="1" applyProtection="1"/>
    <xf numFmtId="0" fontId="2" fillId="0" borderId="0" xfId="0" applyFont="1"/>
    <xf numFmtId="0" fontId="12" fillId="0" borderId="0" xfId="0" applyFont="1"/>
    <xf numFmtId="0" fontId="13" fillId="0" borderId="0" xfId="0" applyFont="1" applyAlignment="1">
      <alignment horizontal="center" wrapText="1"/>
    </xf>
    <xf numFmtId="0" fontId="14" fillId="0" borderId="0" xfId="0" applyFont="1" applyAlignment="1">
      <alignment wrapText="1"/>
    </xf>
    <xf numFmtId="0" fontId="15" fillId="0" borderId="0" xfId="0" applyFont="1" applyAlignment="1">
      <alignment horizontal="center" wrapText="1"/>
    </xf>
    <xf numFmtId="0" fontId="15" fillId="0" borderId="0" xfId="0" applyFont="1" applyAlignment="1">
      <alignment wrapText="1"/>
    </xf>
    <xf numFmtId="166" fontId="0" fillId="0" borderId="0" xfId="0" applyNumberFormat="1"/>
    <xf numFmtId="0" fontId="15" fillId="0" borderId="0" xfId="0" applyFont="1"/>
    <xf numFmtId="164" fontId="15" fillId="0" borderId="0" xfId="0" applyNumberFormat="1" applyFont="1"/>
    <xf numFmtId="0" fontId="0" fillId="0" borderId="0" xfId="0" applyFill="1" applyBorder="1"/>
    <xf numFmtId="169" fontId="2" fillId="0" borderId="0" xfId="3" applyNumberFormat="1" applyFill="1" applyBorder="1" applyAlignment="1" applyProtection="1">
      <alignment horizontal="left"/>
    </xf>
    <xf numFmtId="164" fontId="0" fillId="0" borderId="0" xfId="0" applyNumberFormat="1"/>
    <xf numFmtId="165" fontId="0" fillId="0" borderId="0" xfId="0" applyNumberFormat="1"/>
    <xf numFmtId="0" fontId="15" fillId="0" borderId="1" xfId="0" applyFont="1" applyBorder="1"/>
    <xf numFmtId="0" fontId="0" fillId="0" borderId="1" xfId="0" applyBorder="1"/>
    <xf numFmtId="176" fontId="15" fillId="0" borderId="0" xfId="0" applyNumberFormat="1" applyFont="1"/>
    <xf numFmtId="0" fontId="15" fillId="0" borderId="0" xfId="0" applyFont="1" applyBorder="1"/>
    <xf numFmtId="0" fontId="0" fillId="0" borderId="0" xfId="0" applyBorder="1"/>
    <xf numFmtId="0" fontId="4" fillId="0" borderId="0" xfId="0" applyFont="1" applyBorder="1" applyAlignment="1"/>
    <xf numFmtId="0" fontId="15" fillId="0" borderId="0" xfId="0" applyFont="1" applyBorder="1" applyAlignment="1"/>
    <xf numFmtId="172" fontId="15" fillId="0" borderId="0" xfId="0" applyNumberFormat="1" applyFont="1" applyAlignment="1">
      <alignment wrapText="1"/>
    </xf>
    <xf numFmtId="0" fontId="19" fillId="0" borderId="0" xfId="0" applyFont="1"/>
    <xf numFmtId="0" fontId="20" fillId="0" borderId="1" xfId="0" applyFont="1" applyBorder="1" applyAlignment="1"/>
    <xf numFmtId="0" fontId="20" fillId="0" borderId="1" xfId="0" applyFont="1" applyBorder="1" applyAlignment="1">
      <alignment horizontal="center" wrapText="1"/>
    </xf>
    <xf numFmtId="0" fontId="20" fillId="0" borderId="1" xfId="0" applyFont="1" applyBorder="1" applyAlignment="1">
      <alignment wrapText="1"/>
    </xf>
    <xf numFmtId="0" fontId="20" fillId="0" borderId="1" xfId="0" applyFont="1" applyBorder="1" applyAlignment="1">
      <alignment horizontal="left" wrapText="1"/>
    </xf>
    <xf numFmtId="0" fontId="0" fillId="0" borderId="0" xfId="0" applyAlignment="1"/>
    <xf numFmtId="178" fontId="0" fillId="0" borderId="0" xfId="0" applyNumberFormat="1"/>
    <xf numFmtId="0" fontId="4" fillId="0" borderId="0" xfId="0" applyFont="1" applyAlignment="1">
      <alignment horizontal="right"/>
    </xf>
    <xf numFmtId="0" fontId="15" fillId="0" borderId="2" xfId="0" applyFont="1" applyBorder="1"/>
    <xf numFmtId="0" fontId="0" fillId="0" borderId="3" xfId="0" applyBorder="1"/>
    <xf numFmtId="0" fontId="4" fillId="0" borderId="3" xfId="0" applyFont="1" applyBorder="1" applyAlignment="1">
      <alignment horizontal="right"/>
    </xf>
    <xf numFmtId="164" fontId="0" fillId="0" borderId="3" xfId="0" applyNumberFormat="1" applyBorder="1"/>
    <xf numFmtId="0" fontId="0" fillId="0" borderId="4" xfId="0" applyBorder="1"/>
    <xf numFmtId="0" fontId="4" fillId="0" borderId="5" xfId="0" applyFont="1" applyBorder="1"/>
    <xf numFmtId="164" fontId="0" fillId="0" borderId="0" xfId="0" applyNumberFormat="1" applyBorder="1"/>
    <xf numFmtId="0" fontId="4" fillId="0" borderId="0" xfId="0" applyFont="1" applyBorder="1"/>
    <xf numFmtId="0" fontId="0" fillId="0" borderId="6" xfId="0" applyBorder="1"/>
    <xf numFmtId="0" fontId="0" fillId="0" borderId="5" xfId="0" applyBorder="1"/>
    <xf numFmtId="177" fontId="0" fillId="0" borderId="0" xfId="0" applyNumberFormat="1" applyBorder="1"/>
    <xf numFmtId="0" fontId="0" fillId="0" borderId="7" xfId="0" applyBorder="1"/>
    <xf numFmtId="0" fontId="0" fillId="0" borderId="8" xfId="0" applyBorder="1"/>
    <xf numFmtId="0" fontId="4" fillId="0" borderId="8" xfId="0" applyFont="1" applyBorder="1"/>
    <xf numFmtId="0" fontId="0" fillId="0" borderId="9" xfId="0" applyBorder="1"/>
    <xf numFmtId="0" fontId="19" fillId="4" borderId="2" xfId="0" applyFont="1" applyFill="1" applyBorder="1"/>
    <xf numFmtId="0" fontId="0" fillId="4" borderId="3" xfId="0" applyFill="1" applyBorder="1"/>
    <xf numFmtId="0" fontId="0" fillId="4" borderId="10" xfId="0" applyFill="1" applyBorder="1"/>
    <xf numFmtId="167" fontId="19" fillId="4" borderId="2" xfId="0" applyNumberFormat="1" applyFont="1" applyFill="1" applyBorder="1" applyAlignment="1">
      <alignment horizontal="left"/>
    </xf>
    <xf numFmtId="0" fontId="0" fillId="4" borderId="4" xfId="0" applyFill="1" applyBorder="1"/>
    <xf numFmtId="0" fontId="23" fillId="5" borderId="11" xfId="0" applyFont="1" applyFill="1" applyBorder="1" applyAlignment="1">
      <alignment horizontal="center" vertical="center"/>
    </xf>
    <xf numFmtId="0" fontId="23" fillId="5" borderId="11" xfId="0" applyFont="1" applyFill="1" applyBorder="1" applyAlignment="1">
      <alignment horizontal="center" vertical="center" wrapText="1"/>
    </xf>
    <xf numFmtId="0" fontId="0" fillId="4" borderId="6" xfId="0" applyFill="1" applyBorder="1"/>
    <xf numFmtId="164" fontId="4" fillId="0" borderId="13" xfId="0" applyNumberFormat="1" applyFont="1" applyFill="1" applyBorder="1" applyAlignment="1">
      <alignment vertical="center" wrapText="1"/>
    </xf>
    <xf numFmtId="164" fontId="0" fillId="6" borderId="13" xfId="0" applyNumberFormat="1" applyFill="1" applyBorder="1" applyAlignment="1" applyProtection="1">
      <alignment vertical="center"/>
      <protection locked="0"/>
    </xf>
    <xf numFmtId="164" fontId="0" fillId="0" borderId="13" xfId="0" applyNumberFormat="1" applyFill="1" applyBorder="1" applyAlignment="1">
      <alignment vertical="center" wrapText="1"/>
    </xf>
    <xf numFmtId="164" fontId="0" fillId="0" borderId="14" xfId="0" applyNumberFormat="1" applyBorder="1" applyAlignment="1">
      <alignment vertical="center"/>
    </xf>
    <xf numFmtId="164" fontId="21" fillId="0" borderId="15" xfId="0" applyNumberFormat="1" applyFont="1" applyBorder="1" applyAlignment="1">
      <alignment vertical="center" wrapText="1"/>
    </xf>
    <xf numFmtId="164" fontId="21" fillId="5" borderId="16" xfId="0" applyNumberFormat="1" applyFont="1" applyFill="1" applyBorder="1" applyAlignment="1">
      <alignment vertical="center" wrapText="1"/>
    </xf>
    <xf numFmtId="164" fontId="21" fillId="5" borderId="17" xfId="0" applyNumberFormat="1" applyFont="1" applyFill="1" applyBorder="1" applyAlignment="1">
      <alignment vertical="center" wrapText="1"/>
    </xf>
    <xf numFmtId="165" fontId="0" fillId="6" borderId="18" xfId="0" applyNumberFormat="1" applyFill="1" applyBorder="1" applyAlignment="1" applyProtection="1">
      <alignment vertical="center"/>
      <protection locked="0"/>
    </xf>
    <xf numFmtId="164" fontId="0" fillId="0" borderId="18" xfId="0" applyNumberFormat="1" applyBorder="1" applyAlignment="1">
      <alignment vertical="center" wrapText="1"/>
    </xf>
    <xf numFmtId="164" fontId="4" fillId="0" borderId="13" xfId="0" applyNumberFormat="1" applyFont="1" applyBorder="1" applyAlignment="1">
      <alignment horizontal="left" vertical="center" wrapText="1"/>
    </xf>
    <xf numFmtId="164" fontId="0" fillId="0" borderId="13" xfId="0" applyNumberFormat="1" applyBorder="1" applyAlignment="1">
      <alignment vertical="center" wrapText="1"/>
    </xf>
    <xf numFmtId="164" fontId="4" fillId="0" borderId="14" xfId="0" applyNumberFormat="1" applyFont="1" applyBorder="1" applyAlignment="1">
      <alignment horizontal="right" vertical="center" wrapText="1"/>
    </xf>
    <xf numFmtId="165" fontId="0" fillId="6" borderId="13" xfId="0" applyNumberFormat="1" applyFill="1" applyBorder="1" applyAlignment="1" applyProtection="1">
      <alignment vertical="center"/>
      <protection locked="0"/>
    </xf>
    <xf numFmtId="164" fontId="4" fillId="0" borderId="11" xfId="0" applyNumberFormat="1" applyFont="1" applyBorder="1" applyAlignment="1">
      <alignment vertical="center" wrapText="1"/>
    </xf>
    <xf numFmtId="164" fontId="0" fillId="6" borderId="13" xfId="0" applyNumberFormat="1" applyFill="1" applyBorder="1" applyAlignment="1" applyProtection="1">
      <alignment horizontal="right" vertical="center" wrapText="1"/>
      <protection locked="0"/>
    </xf>
    <xf numFmtId="164" fontId="0" fillId="0" borderId="13" xfId="0" applyNumberFormat="1" applyFill="1" applyBorder="1" applyAlignment="1">
      <alignment horizontal="left" vertical="center" wrapText="1"/>
    </xf>
    <xf numFmtId="164" fontId="0" fillId="0" borderId="20" xfId="0" applyNumberFormat="1" applyBorder="1" applyAlignment="1">
      <alignment vertical="center"/>
    </xf>
    <xf numFmtId="164" fontId="4" fillId="6" borderId="13" xfId="0" applyNumberFormat="1" applyFont="1" applyFill="1" applyBorder="1" applyAlignment="1" applyProtection="1">
      <alignment vertical="center" wrapText="1"/>
      <protection locked="0"/>
    </xf>
    <xf numFmtId="165" fontId="4" fillId="6" borderId="13" xfId="0" applyNumberFormat="1" applyFont="1" applyFill="1" applyBorder="1" applyAlignment="1" applyProtection="1">
      <alignment vertical="center" wrapText="1"/>
      <protection locked="0"/>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vertical="center" wrapText="1"/>
    </xf>
    <xf numFmtId="164" fontId="4" fillId="6" borderId="13" xfId="0" applyNumberFormat="1" applyFont="1" applyFill="1" applyBorder="1" applyAlignment="1" applyProtection="1">
      <alignment vertical="center"/>
      <protection locked="0"/>
    </xf>
    <xf numFmtId="165" fontId="4" fillId="6" borderId="11" xfId="0" applyNumberFormat="1" applyFont="1" applyFill="1" applyBorder="1" applyAlignment="1" applyProtection="1">
      <alignment vertical="center"/>
      <protection locked="0"/>
    </xf>
    <xf numFmtId="164" fontId="0" fillId="0" borderId="11" xfId="0" applyNumberFormat="1" applyBorder="1" applyAlignment="1">
      <alignment vertical="center" wrapText="1"/>
    </xf>
    <xf numFmtId="164" fontId="4" fillId="7" borderId="13" xfId="0" applyNumberFormat="1" applyFont="1" applyFill="1" applyBorder="1" applyAlignment="1" applyProtection="1">
      <alignment vertical="center"/>
      <protection locked="0"/>
    </xf>
    <xf numFmtId="0" fontId="0" fillId="7" borderId="13" xfId="0" applyFill="1" applyBorder="1" applyAlignment="1">
      <alignment vertical="center" wrapText="1"/>
    </xf>
    <xf numFmtId="164" fontId="4" fillId="7" borderId="14" xfId="0" applyNumberFormat="1" applyFont="1" applyFill="1" applyBorder="1" applyAlignment="1">
      <alignment horizontal="right" vertical="center"/>
    </xf>
    <xf numFmtId="164" fontId="18" fillId="4" borderId="6" xfId="0" applyNumberFormat="1" applyFont="1" applyFill="1" applyBorder="1" applyAlignment="1">
      <alignment vertical="center"/>
    </xf>
    <xf numFmtId="164" fontId="4" fillId="8" borderId="21" xfId="0" applyNumberFormat="1" applyFont="1" applyFill="1" applyBorder="1" applyAlignment="1" applyProtection="1">
      <alignment vertical="center"/>
      <protection locked="0"/>
    </xf>
    <xf numFmtId="164" fontId="0" fillId="8" borderId="21" xfId="0" applyNumberFormat="1" applyFill="1" applyBorder="1" applyAlignment="1">
      <alignment vertical="center" wrapText="1"/>
    </xf>
    <xf numFmtId="165" fontId="4" fillId="8" borderId="18" xfId="0" applyNumberFormat="1" applyFont="1" applyFill="1" applyBorder="1" applyAlignment="1" applyProtection="1">
      <alignment vertical="center"/>
      <protection locked="0"/>
    </xf>
    <xf numFmtId="164" fontId="0" fillId="8" borderId="18" xfId="0" applyNumberFormat="1" applyFill="1" applyBorder="1" applyAlignment="1">
      <alignment vertical="center" wrapText="1"/>
    </xf>
    <xf numFmtId="0" fontId="4" fillId="4" borderId="5" xfId="0" applyFont="1" applyFill="1" applyBorder="1" applyAlignment="1">
      <alignment horizontal="right" vertical="center" wrapText="1"/>
    </xf>
    <xf numFmtId="0" fontId="0" fillId="4" borderId="6" xfId="0" applyFill="1" applyBorder="1" applyAlignment="1" applyProtection="1">
      <alignment vertical="center"/>
      <protection locked="0"/>
    </xf>
    <xf numFmtId="0" fontId="0" fillId="5" borderId="21" xfId="0" applyFill="1" applyBorder="1"/>
    <xf numFmtId="164" fontId="0" fillId="5" borderId="21" xfId="0" applyNumberFormat="1" applyFill="1" applyBorder="1" applyAlignment="1">
      <alignment vertical="center"/>
    </xf>
    <xf numFmtId="0" fontId="4" fillId="4" borderId="5" xfId="0" applyFont="1" applyFill="1" applyBorder="1" applyAlignment="1">
      <alignment horizontal="left" vertical="center" wrapText="1"/>
    </xf>
    <xf numFmtId="0" fontId="15" fillId="0" borderId="13" xfId="0" applyFont="1" applyFill="1" applyBorder="1" applyAlignment="1">
      <alignment vertical="center" wrapText="1"/>
    </xf>
    <xf numFmtId="164" fontId="0" fillId="0" borderId="13" xfId="0" applyNumberFormat="1" applyBorder="1" applyAlignment="1">
      <alignment vertical="center"/>
    </xf>
    <xf numFmtId="0" fontId="0" fillId="4" borderId="0" xfId="0" applyFill="1" applyBorder="1" applyAlignment="1" applyProtection="1">
      <alignment vertical="center"/>
      <protection locked="0"/>
    </xf>
    <xf numFmtId="0" fontId="15" fillId="4" borderId="3" xfId="0" applyFont="1" applyFill="1" applyBorder="1" applyAlignment="1">
      <alignment vertical="center" wrapText="1"/>
    </xf>
    <xf numFmtId="164" fontId="0" fillId="4" borderId="3" xfId="0" applyNumberFormat="1" applyFill="1" applyBorder="1" applyAlignment="1">
      <alignment vertical="center"/>
    </xf>
    <xf numFmtId="0" fontId="26" fillId="4" borderId="5" xfId="0" applyFont="1" applyFill="1" applyBorder="1"/>
    <xf numFmtId="0" fontId="4" fillId="4" borderId="0" xfId="0" applyFont="1" applyFill="1" applyBorder="1" applyAlignment="1">
      <alignment horizontal="left" wrapText="1"/>
    </xf>
    <xf numFmtId="0" fontId="0" fillId="4" borderId="5" xfId="0" applyFill="1" applyBorder="1"/>
    <xf numFmtId="0" fontId="0" fillId="4" borderId="0" xfId="0" applyFill="1" applyBorder="1"/>
    <xf numFmtId="0" fontId="21" fillId="4" borderId="2" xfId="0" applyFont="1" applyFill="1" applyBorder="1"/>
    <xf numFmtId="0" fontId="0" fillId="4" borderId="3" xfId="0" applyFill="1" applyBorder="1" applyAlignment="1" applyProtection="1">
      <alignment vertical="center"/>
      <protection locked="0"/>
    </xf>
    <xf numFmtId="0" fontId="9" fillId="4"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0" fillId="0" borderId="0" xfId="0" applyFill="1" applyBorder="1" applyAlignment="1"/>
    <xf numFmtId="0" fontId="0" fillId="0" borderId="0" xfId="0" applyAlignment="1">
      <alignment horizontal="center"/>
    </xf>
    <xf numFmtId="0" fontId="19" fillId="4" borderId="0" xfId="0" applyFont="1" applyFill="1" applyProtection="1"/>
    <xf numFmtId="0" fontId="0" fillId="4" borderId="0" xfId="0" applyFill="1" applyProtection="1"/>
    <xf numFmtId="0" fontId="0" fillId="4" borderId="0" xfId="0" applyFill="1" applyAlignment="1" applyProtection="1">
      <alignment wrapText="1"/>
    </xf>
    <xf numFmtId="0" fontId="0" fillId="0" borderId="0" xfId="0" applyProtection="1"/>
    <xf numFmtId="167" fontId="19" fillId="4" borderId="0" xfId="0" applyNumberFormat="1" applyFont="1" applyFill="1" applyAlignment="1" applyProtection="1">
      <alignment horizontal="left"/>
    </xf>
    <xf numFmtId="0" fontId="0" fillId="4" borderId="0" xfId="0" applyFill="1" applyAlignment="1" applyProtection="1">
      <alignment horizontal="left" wrapText="1"/>
    </xf>
    <xf numFmtId="0" fontId="21" fillId="4" borderId="0" xfId="0" applyFont="1" applyFill="1" applyAlignment="1" applyProtection="1">
      <alignment wrapText="1"/>
    </xf>
    <xf numFmtId="0" fontId="19" fillId="4" borderId="0" xfId="0" applyFont="1" applyFill="1" applyAlignment="1" applyProtection="1">
      <alignment horizontal="left"/>
    </xf>
    <xf numFmtId="0" fontId="18" fillId="4" borderId="0" xfId="0" applyFont="1" applyFill="1" applyAlignment="1" applyProtection="1">
      <alignment wrapText="1"/>
    </xf>
    <xf numFmtId="0" fontId="28" fillId="4" borderId="0" xfId="0" applyFont="1" applyFill="1" applyProtection="1"/>
    <xf numFmtId="0" fontId="29" fillId="5" borderId="13" xfId="0" applyFont="1" applyFill="1" applyBorder="1" applyAlignment="1" applyProtection="1">
      <alignment horizontal="center" vertical="center" wrapText="1"/>
    </xf>
    <xf numFmtId="0" fontId="29" fillId="5" borderId="13" xfId="0" applyFont="1" applyFill="1" applyBorder="1" applyAlignment="1" applyProtection="1">
      <alignment horizontal="center" vertical="center"/>
    </xf>
    <xf numFmtId="169" fontId="0" fillId="0" borderId="0" xfId="4" applyNumberFormat="1" applyFont="1" applyFill="1" applyBorder="1" applyAlignment="1" applyProtection="1"/>
    <xf numFmtId="0" fontId="15" fillId="0" borderId="13" xfId="0" applyFont="1" applyBorder="1" applyAlignment="1" applyProtection="1">
      <alignment vertical="center" wrapText="1"/>
    </xf>
    <xf numFmtId="0" fontId="0" fillId="0" borderId="13" xfId="0" applyBorder="1" applyAlignment="1" applyProtection="1">
      <alignment vertical="center" wrapText="1"/>
    </xf>
    <xf numFmtId="0" fontId="4" fillId="0" borderId="13" xfId="0" applyFont="1" applyFill="1" applyBorder="1" applyAlignment="1" applyProtection="1">
      <alignment vertical="center" wrapText="1"/>
    </xf>
    <xf numFmtId="165" fontId="0" fillId="0" borderId="13" xfId="0" applyNumberFormat="1" applyFill="1" applyBorder="1" applyAlignment="1" applyProtection="1">
      <alignment vertical="center" wrapText="1"/>
    </xf>
    <xf numFmtId="0" fontId="0" fillId="0" borderId="13" xfId="0" applyFill="1" applyBorder="1" applyAlignment="1" applyProtection="1">
      <alignment vertical="center" wrapText="1"/>
    </xf>
    <xf numFmtId="0" fontId="0" fillId="0" borderId="13" xfId="0" applyBorder="1" applyAlignment="1" applyProtection="1">
      <alignment horizontal="left" vertical="center" wrapText="1"/>
    </xf>
    <xf numFmtId="0" fontId="0" fillId="0" borderId="13" xfId="0" applyBorder="1" applyAlignment="1" applyProtection="1">
      <alignment horizontal="center" vertical="center" wrapText="1"/>
    </xf>
    <xf numFmtId="0" fontId="15" fillId="0" borderId="13" xfId="0" applyFont="1" applyFill="1" applyBorder="1" applyAlignment="1" applyProtection="1">
      <alignment vertical="center" wrapText="1"/>
    </xf>
    <xf numFmtId="164" fontId="0" fillId="0" borderId="13" xfId="0" applyNumberFormat="1" applyFill="1" applyBorder="1" applyAlignment="1" applyProtection="1">
      <alignment vertical="center" wrapText="1"/>
    </xf>
    <xf numFmtId="0" fontId="0" fillId="0" borderId="13" xfId="0" applyFill="1" applyBorder="1" applyAlignment="1" applyProtection="1">
      <alignment horizontal="left" vertical="center" wrapText="1"/>
    </xf>
    <xf numFmtId="164" fontId="0" fillId="0" borderId="13" xfId="0" applyNumberFormat="1" applyFill="1" applyBorder="1" applyAlignment="1" applyProtection="1">
      <alignment horizontal="right" vertical="center" wrapText="1"/>
    </xf>
    <xf numFmtId="169" fontId="4" fillId="0" borderId="13" xfId="2" applyNumberFormat="1" applyFont="1" applyFill="1" applyBorder="1" applyAlignment="1" applyProtection="1">
      <alignment vertical="center" wrapText="1"/>
    </xf>
    <xf numFmtId="0" fontId="0" fillId="5" borderId="13" xfId="0" applyFill="1" applyBorder="1" applyAlignment="1" applyProtection="1">
      <alignment vertical="center" wrapText="1"/>
    </xf>
    <xf numFmtId="0" fontId="0" fillId="5" borderId="13" xfId="0" applyFill="1" applyBorder="1" applyAlignment="1" applyProtection="1">
      <alignment horizontal="center" vertical="center" wrapText="1"/>
    </xf>
    <xf numFmtId="0" fontId="0" fillId="5" borderId="13" xfId="0" applyFill="1" applyBorder="1" applyAlignment="1" applyProtection="1">
      <alignment vertical="center"/>
    </xf>
    <xf numFmtId="0" fontId="4" fillId="0" borderId="11" xfId="0" applyFont="1" applyBorder="1" applyAlignment="1" applyProtection="1">
      <alignment horizontal="right" vertical="center" wrapText="1"/>
    </xf>
    <xf numFmtId="169" fontId="4" fillId="4" borderId="13" xfId="2" applyNumberFormat="1" applyFont="1" applyFill="1" applyBorder="1" applyAlignment="1" applyProtection="1">
      <alignment vertical="center" wrapText="1"/>
    </xf>
    <xf numFmtId="0" fontId="4" fillId="0" borderId="13" xfId="0" applyFont="1" applyBorder="1" applyAlignment="1" applyProtection="1">
      <alignment horizontal="right" vertical="center" wrapText="1"/>
    </xf>
    <xf numFmtId="169" fontId="0" fillId="0" borderId="13" xfId="0" applyNumberFormat="1" applyFill="1" applyBorder="1" applyAlignment="1" applyProtection="1">
      <alignment vertical="center" wrapText="1"/>
    </xf>
    <xf numFmtId="0" fontId="15" fillId="0" borderId="11" xfId="0" applyFont="1" applyBorder="1" applyAlignment="1" applyProtection="1">
      <alignment vertical="center" wrapText="1"/>
    </xf>
    <xf numFmtId="0" fontId="0" fillId="0" borderId="15"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171" fontId="0" fillId="0" borderId="13" xfId="0" applyNumberFormat="1" applyFill="1" applyBorder="1" applyAlignment="1" applyProtection="1">
      <alignment horizontal="right" vertical="center" wrapText="1"/>
    </xf>
    <xf numFmtId="175" fontId="0" fillId="0" borderId="0" xfId="0" applyNumberFormat="1" applyFill="1" applyBorder="1" applyAlignment="1" applyProtection="1">
      <alignment horizontal="left" vertical="center" wrapText="1"/>
    </xf>
    <xf numFmtId="0" fontId="0" fillId="0" borderId="13" xfId="0" applyFill="1" applyBorder="1" applyAlignment="1" applyProtection="1">
      <alignment vertical="center"/>
    </xf>
    <xf numFmtId="0" fontId="0" fillId="0" borderId="0" xfId="0" applyFill="1" applyProtection="1"/>
    <xf numFmtId="0" fontId="0" fillId="0" borderId="15" xfId="0" applyFill="1" applyBorder="1" applyAlignment="1" applyProtection="1">
      <alignment horizontal="left" vertical="center" wrapText="1"/>
    </xf>
    <xf numFmtId="0" fontId="0" fillId="5" borderId="13" xfId="0" applyFill="1" applyBorder="1" applyAlignment="1" applyProtection="1">
      <alignment horizontal="right" vertical="center" wrapText="1"/>
    </xf>
    <xf numFmtId="0" fontId="0" fillId="5" borderId="0" xfId="0" applyFill="1" applyAlignment="1" applyProtection="1">
      <alignment wrapText="1"/>
    </xf>
    <xf numFmtId="0" fontId="4" fillId="0" borderId="11" xfId="0" applyFont="1" applyFill="1" applyBorder="1" applyAlignment="1" applyProtection="1">
      <alignment horizontal="right" vertical="center" wrapText="1"/>
    </xf>
    <xf numFmtId="164" fontId="4" fillId="0" borderId="13" xfId="0" applyNumberFormat="1" applyFont="1" applyFill="1" applyBorder="1" applyAlignment="1" applyProtection="1">
      <alignment horizontal="right" vertical="center" wrapText="1"/>
    </xf>
    <xf numFmtId="168" fontId="0" fillId="0" borderId="13" xfId="0" applyNumberFormat="1" applyFill="1" applyBorder="1" applyAlignment="1" applyProtection="1">
      <alignment horizontal="right" vertical="center" wrapText="1"/>
    </xf>
    <xf numFmtId="165" fontId="0" fillId="0" borderId="13" xfId="0" applyNumberFormat="1" applyFill="1" applyBorder="1" applyAlignment="1" applyProtection="1">
      <alignment horizontal="right" vertical="center" wrapText="1"/>
    </xf>
    <xf numFmtId="168" fontId="0" fillId="0" borderId="13" xfId="0" applyNumberFormat="1" applyFill="1" applyBorder="1" applyAlignment="1" applyProtection="1">
      <alignment vertical="center" wrapText="1"/>
    </xf>
    <xf numFmtId="0" fontId="0" fillId="4" borderId="3" xfId="0" applyFill="1" applyBorder="1" applyAlignment="1" applyProtection="1">
      <alignment wrapText="1"/>
    </xf>
    <xf numFmtId="165" fontId="0" fillId="4" borderId="3" xfId="0" applyNumberFormat="1" applyFill="1" applyBorder="1" applyAlignment="1" applyProtection="1">
      <alignment vertical="center" wrapText="1"/>
    </xf>
    <xf numFmtId="0" fontId="4" fillId="4" borderId="3" xfId="0" applyFont="1" applyFill="1" applyBorder="1" applyAlignment="1" applyProtection="1">
      <alignment wrapText="1"/>
    </xf>
    <xf numFmtId="169" fontId="4" fillId="4" borderId="3" xfId="0" applyNumberFormat="1" applyFont="1" applyFill="1" applyBorder="1" applyAlignment="1" applyProtection="1">
      <alignment vertical="top" wrapText="1"/>
    </xf>
    <xf numFmtId="0" fontId="0" fillId="4" borderId="0" xfId="0" applyFill="1" applyBorder="1" applyAlignment="1" applyProtection="1">
      <alignment wrapText="1"/>
    </xf>
    <xf numFmtId="165" fontId="0" fillId="4" borderId="0" xfId="0" applyNumberFormat="1" applyFill="1" applyBorder="1" applyAlignment="1" applyProtection="1">
      <alignment vertical="center" wrapText="1"/>
    </xf>
    <xf numFmtId="0" fontId="4" fillId="4" borderId="0" xfId="0" applyFont="1" applyFill="1" applyBorder="1" applyAlignment="1" applyProtection="1">
      <alignment wrapText="1"/>
    </xf>
    <xf numFmtId="169" fontId="4" fillId="4" borderId="0" xfId="0" applyNumberFormat="1" applyFont="1" applyFill="1" applyBorder="1" applyAlignment="1" applyProtection="1">
      <alignment vertical="top" wrapText="1"/>
    </xf>
    <xf numFmtId="0" fontId="4" fillId="4" borderId="0" xfId="0" applyFont="1" applyFill="1" applyAlignment="1" applyProtection="1">
      <alignment horizontal="left" wrapText="1"/>
    </xf>
    <xf numFmtId="0" fontId="9" fillId="5" borderId="0" xfId="0" applyFont="1" applyFill="1" applyAlignment="1" applyProtection="1"/>
    <xf numFmtId="0" fontId="9" fillId="4" borderId="0" xfId="0" applyFont="1" applyFill="1" applyAlignment="1" applyProtection="1">
      <alignment horizontal="center"/>
    </xf>
    <xf numFmtId="0" fontId="25" fillId="4" borderId="0" xfId="0" applyFont="1" applyFill="1" applyProtection="1"/>
    <xf numFmtId="0" fontId="9" fillId="5" borderId="13"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4" borderId="0" xfId="0" applyFill="1" applyBorder="1" applyAlignment="1" applyProtection="1">
      <alignment vertical="center"/>
    </xf>
    <xf numFmtId="0" fontId="0" fillId="4" borderId="0" xfId="0" applyFill="1" applyBorder="1" applyAlignment="1" applyProtection="1">
      <alignment horizontal="center" vertical="center"/>
    </xf>
    <xf numFmtId="0" fontId="34" fillId="4" borderId="0" xfId="5" applyFont="1" applyFill="1" applyBorder="1" applyAlignment="1" applyProtection="1">
      <alignment horizontal="center" vertical="center"/>
    </xf>
    <xf numFmtId="0" fontId="4" fillId="4" borderId="0" xfId="0" applyFont="1" applyFill="1" applyBorder="1" applyAlignment="1" applyProtection="1">
      <alignment vertical="center" wrapText="1"/>
    </xf>
    <xf numFmtId="0" fontId="0" fillId="0" borderId="15" xfId="0" applyBorder="1" applyAlignment="1" applyProtection="1">
      <alignment horizontal="center" vertical="center"/>
    </xf>
    <xf numFmtId="0" fontId="34" fillId="4" borderId="5" xfId="5" applyFont="1" applyFill="1" applyBorder="1" applyAlignment="1" applyProtection="1">
      <alignment horizontal="center" vertical="center"/>
    </xf>
    <xf numFmtId="0" fontId="0" fillId="4" borderId="0" xfId="0" applyFill="1" applyBorder="1" applyAlignment="1" applyProtection="1">
      <alignment vertical="center" wrapText="1"/>
    </xf>
    <xf numFmtId="0" fontId="0" fillId="4" borderId="0" xfId="0" applyFill="1" applyBorder="1" applyAlignment="1" applyProtection="1">
      <alignment horizontal="center" vertical="center" wrapText="1"/>
    </xf>
    <xf numFmtId="0" fontId="15" fillId="0" borderId="13" xfId="0" applyFont="1" applyBorder="1" applyAlignment="1" applyProtection="1">
      <alignment horizontal="right"/>
    </xf>
    <xf numFmtId="0" fontId="15" fillId="0" borderId="15" xfId="0" applyFont="1" applyBorder="1" applyAlignment="1" applyProtection="1">
      <alignment horizontal="center"/>
    </xf>
    <xf numFmtId="172" fontId="15" fillId="4" borderId="0" xfId="0" applyNumberFormat="1" applyFont="1" applyFill="1" applyBorder="1" applyAlignment="1" applyProtection="1">
      <alignment horizontal="center"/>
    </xf>
    <xf numFmtId="0" fontId="15" fillId="0" borderId="13" xfId="0" applyFont="1" applyFill="1" applyBorder="1" applyAlignment="1" applyProtection="1">
      <alignment horizontal="right" vertical="center" wrapText="1"/>
    </xf>
    <xf numFmtId="0" fontId="15" fillId="0" borderId="15" xfId="0" applyFont="1" applyBorder="1" applyAlignment="1" applyProtection="1">
      <alignment horizontal="center" vertical="center" wrapText="1"/>
    </xf>
    <xf numFmtId="172" fontId="15" fillId="4" borderId="0" xfId="0" applyNumberFormat="1" applyFont="1" applyFill="1" applyBorder="1" applyAlignment="1" applyProtection="1">
      <alignment horizontal="center" vertical="center" wrapText="1"/>
    </xf>
    <xf numFmtId="0" fontId="4" fillId="4" borderId="5"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0" fillId="4" borderId="0" xfId="0" applyFill="1" applyBorder="1" applyProtection="1"/>
    <xf numFmtId="0" fontId="35" fillId="4" borderId="15" xfId="0" applyFont="1" applyFill="1" applyBorder="1" applyAlignment="1" applyProtection="1">
      <alignment horizontal="left"/>
    </xf>
    <xf numFmtId="0" fontId="35" fillId="4" borderId="16" xfId="0" applyFont="1" applyFill="1" applyBorder="1" applyAlignment="1" applyProtection="1">
      <alignment horizontal="left"/>
    </xf>
    <xf numFmtId="0" fontId="35" fillId="4" borderId="10" xfId="0" applyFont="1" applyFill="1" applyBorder="1" applyAlignment="1" applyProtection="1">
      <alignment horizontal="left"/>
    </xf>
    <xf numFmtId="0" fontId="9" fillId="5" borderId="13" xfId="0" applyFont="1" applyFill="1" applyBorder="1" applyAlignment="1" applyProtection="1">
      <alignment horizontal="center"/>
    </xf>
    <xf numFmtId="173" fontId="0" fillId="4" borderId="0" xfId="0" applyNumberFormat="1" applyFill="1" applyProtection="1"/>
    <xf numFmtId="0" fontId="0" fillId="0" borderId="13" xfId="0" applyBorder="1" applyAlignment="1" applyProtection="1">
      <alignment horizontal="center"/>
    </xf>
    <xf numFmtId="170" fontId="0" fillId="0" borderId="13" xfId="0" applyNumberFormat="1" applyBorder="1" applyAlignment="1" applyProtection="1">
      <alignment horizontal="center"/>
    </xf>
    <xf numFmtId="174" fontId="0" fillId="4" borderId="0" xfId="0" applyNumberFormat="1" applyFill="1" applyProtection="1"/>
    <xf numFmtId="168" fontId="0" fillId="0" borderId="13" xfId="0" applyNumberFormat="1" applyBorder="1" applyAlignment="1" applyProtection="1">
      <alignment horizontal="center"/>
    </xf>
    <xf numFmtId="0" fontId="0" fillId="4" borderId="0" xfId="0" applyFill="1" applyAlignment="1" applyProtection="1">
      <alignment horizontal="center"/>
    </xf>
    <xf numFmtId="168" fontId="0" fillId="4" borderId="0" xfId="0" applyNumberFormat="1" applyFill="1" applyAlignment="1" applyProtection="1">
      <alignment horizontal="center"/>
    </xf>
    <xf numFmtId="0" fontId="0" fillId="0" borderId="0" xfId="0" applyAlignment="1" applyProtection="1">
      <alignment wrapText="1"/>
    </xf>
    <xf numFmtId="169" fontId="4" fillId="0" borderId="0" xfId="0" applyNumberFormat="1"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vertical="center" wrapText="1"/>
    </xf>
    <xf numFmtId="0" fontId="15" fillId="0" borderId="1" xfId="0" applyFont="1" applyFill="1" applyBorder="1" applyAlignment="1"/>
    <xf numFmtId="169" fontId="2" fillId="0" borderId="0" xfId="3" applyNumberFormat="1" applyFill="1" applyBorder="1" applyAlignment="1" applyProtection="1">
      <alignment wrapText="1"/>
    </xf>
    <xf numFmtId="0" fontId="15" fillId="0" borderId="21" xfId="0" applyFont="1" applyFill="1" applyBorder="1" applyAlignment="1">
      <alignment horizontal="left" vertical="top" wrapText="1"/>
    </xf>
    <xf numFmtId="164" fontId="4" fillId="0" borderId="18" xfId="0" applyNumberFormat="1" applyFont="1" applyFill="1" applyBorder="1" applyAlignment="1">
      <alignment horizontal="right" vertical="center" wrapText="1"/>
    </xf>
    <xf numFmtId="164" fontId="4" fillId="8" borderId="22" xfId="0" applyNumberFormat="1" applyFont="1" applyFill="1" applyBorder="1" applyAlignment="1">
      <alignment horizontal="right" vertical="center"/>
    </xf>
    <xf numFmtId="0" fontId="4" fillId="4" borderId="23" xfId="0" applyFont="1" applyFill="1" applyBorder="1" applyAlignment="1">
      <alignment horizontal="left" wrapText="1"/>
    </xf>
    <xf numFmtId="0" fontId="0" fillId="4" borderId="23" xfId="0" applyFill="1" applyBorder="1" applyAlignment="1">
      <alignment horizontal="left" wrapText="1"/>
    </xf>
    <xf numFmtId="164" fontId="4" fillId="0" borderId="13" xfId="0" applyNumberFormat="1" applyFont="1" applyFill="1" applyBorder="1" applyAlignment="1">
      <alignment horizontal="left" vertical="center" wrapText="1"/>
    </xf>
    <xf numFmtId="164" fontId="4" fillId="0" borderId="14" xfId="0" applyNumberFormat="1" applyFont="1" applyFill="1" applyBorder="1" applyAlignment="1">
      <alignment horizontal="right" vertical="center" wrapText="1"/>
    </xf>
    <xf numFmtId="164" fontId="4" fillId="0" borderId="13" xfId="0" applyNumberFormat="1" applyFont="1" applyFill="1" applyBorder="1" applyAlignment="1">
      <alignment horizontal="right" vertical="center" wrapText="1"/>
    </xf>
    <xf numFmtId="164" fontId="0" fillId="0" borderId="14" xfId="0" applyNumberFormat="1" applyFill="1" applyBorder="1" applyAlignment="1">
      <alignment horizontal="right" vertical="center"/>
    </xf>
    <xf numFmtId="164" fontId="0" fillId="0" borderId="20" xfId="0" applyNumberFormat="1" applyFill="1" applyBorder="1" applyAlignment="1">
      <alignment horizontal="right" vertical="center"/>
    </xf>
    <xf numFmtId="164" fontId="4" fillId="0" borderId="13" xfId="0" applyNumberFormat="1" applyFont="1" applyFill="1" applyBorder="1" applyAlignment="1">
      <alignment vertical="center" wrapText="1"/>
    </xf>
    <xf numFmtId="164" fontId="0" fillId="0" borderId="14" xfId="0" applyNumberFormat="1" applyFill="1" applyBorder="1" applyAlignment="1">
      <alignment vertical="center"/>
    </xf>
    <xf numFmtId="0" fontId="0" fillId="6" borderId="13" xfId="0" applyFill="1" applyBorder="1"/>
    <xf numFmtId="164" fontId="0" fillId="0" borderId="13" xfId="0" applyNumberFormat="1" applyFill="1" applyBorder="1" applyAlignment="1">
      <alignment horizontal="center" vertical="center" wrapText="1"/>
    </xf>
    <xf numFmtId="0" fontId="21" fillId="4" borderId="11" xfId="0" applyFont="1" applyFill="1" applyBorder="1" applyAlignment="1">
      <alignment horizontal="left" wrapText="1"/>
    </xf>
    <xf numFmtId="0" fontId="25" fillId="0" borderId="12" xfId="0" applyFont="1" applyFill="1" applyBorder="1" applyAlignment="1">
      <alignment horizontal="center" wrapText="1"/>
    </xf>
    <xf numFmtId="164" fontId="4" fillId="0" borderId="19" xfId="0" applyNumberFormat="1" applyFont="1" applyFill="1" applyBorder="1" applyAlignment="1">
      <alignment horizontal="right" vertical="center" wrapText="1"/>
    </xf>
    <xf numFmtId="164" fontId="25" fillId="0" borderId="12" xfId="0" applyNumberFormat="1" applyFont="1" applyFill="1" applyBorder="1" applyAlignment="1">
      <alignment horizontal="center" vertical="center" wrapText="1"/>
    </xf>
    <xf numFmtId="0" fontId="0" fillId="4" borderId="0" xfId="0" applyFill="1" applyBorder="1" applyAlignment="1" applyProtection="1">
      <alignment horizontal="left" wrapText="1"/>
    </xf>
    <xf numFmtId="0" fontId="4" fillId="0" borderId="13" xfId="0" applyFont="1" applyFill="1" applyBorder="1" applyAlignment="1" applyProtection="1">
      <alignment horizontal="left" vertical="center" wrapText="1"/>
    </xf>
    <xf numFmtId="0" fontId="4" fillId="4" borderId="13" xfId="0" applyFont="1" applyFill="1" applyBorder="1" applyAlignment="1" applyProtection="1">
      <alignment horizontal="left"/>
    </xf>
    <xf numFmtId="0" fontId="15" fillId="0" borderId="0" xfId="0" applyFont="1" applyFill="1" applyBorder="1" applyAlignment="1" applyProtection="1">
      <alignment horizontal="left" vertical="top" wrapText="1"/>
    </xf>
    <xf numFmtId="0" fontId="15" fillId="0" borderId="13" xfId="0" applyFont="1" applyFill="1" applyBorder="1" applyAlignment="1" applyProtection="1">
      <alignment horizontal="left" wrapText="1"/>
    </xf>
    <xf numFmtId="0" fontId="15" fillId="0" borderId="13" xfId="0" applyFont="1" applyFill="1" applyBorder="1" applyAlignment="1" applyProtection="1">
      <alignment horizontal="left" vertical="center" wrapText="1"/>
    </xf>
    <xf numFmtId="169" fontId="31" fillId="0" borderId="13"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right" vertical="center" wrapText="1"/>
    </xf>
    <xf numFmtId="0" fontId="33" fillId="0" borderId="13" xfId="0" applyFont="1" applyFill="1" applyBorder="1" applyAlignment="1" applyProtection="1">
      <alignment horizontal="left" wrapText="1"/>
    </xf>
    <xf numFmtId="0" fontId="15" fillId="0" borderId="13" xfId="0" applyFont="1" applyFill="1" applyBorder="1" applyAlignment="1" applyProtection="1">
      <alignment horizontal="left"/>
    </xf>
    <xf numFmtId="164" fontId="15" fillId="0" borderId="13" xfId="0" applyNumberFormat="1" applyFont="1" applyFill="1" applyBorder="1" applyAlignment="1" applyProtection="1">
      <alignment horizontal="left" vertical="center" wrapText="1"/>
    </xf>
  </cellXfs>
  <cellStyles count="13">
    <cellStyle name="Comma 2" xfId="1" xr:uid="{00000000-0005-0000-0000-000000000000}"/>
    <cellStyle name="Excel Built-in Comma" xfId="2" xr:uid="{00000000-0005-0000-0000-000001000000}"/>
    <cellStyle name="Excel Built-in Hyperlink" xfId="3" xr:uid="{00000000-0005-0000-0000-000002000000}"/>
    <cellStyle name="Excel Built-in Neutral" xfId="4" xr:uid="{00000000-0005-0000-0000-000003000000}"/>
    <cellStyle name="Excel Built-in Percent" xfId="5" xr:uid="{00000000-0005-0000-0000-000004000000}"/>
    <cellStyle name="Heading" xfId="6" xr:uid="{00000000-0005-0000-0000-000005000000}"/>
    <cellStyle name="Heading1" xfId="7" xr:uid="{00000000-0005-0000-0000-000006000000}"/>
    <cellStyle name="Normal" xfId="0" builtinId="0" customBuiltin="1"/>
    <cellStyle name="Normal 2" xfId="8" xr:uid="{00000000-0005-0000-0000-000008000000}"/>
    <cellStyle name="Normal 3" xfId="9" xr:uid="{00000000-0005-0000-0000-000009000000}"/>
    <cellStyle name="Percent 2" xfId="10" xr:uid="{00000000-0005-0000-0000-00000A000000}"/>
    <cellStyle name="Result" xfId="11" xr:uid="{00000000-0005-0000-0000-00000B000000}"/>
    <cellStyle name="Result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198333</xdr:colOff>
      <xdr:row>2</xdr:row>
      <xdr:rowOff>29169</xdr:rowOff>
    </xdr:from>
    <xdr:ext cx="7352598" cy="4427616"/>
    <xdr:pic>
      <xdr:nvPicPr>
        <xdr:cNvPr id="2" name="Picture 1">
          <a:extLst>
            <a:ext uri="{FF2B5EF4-FFF2-40B4-BE49-F238E27FC236}">
              <a16:creationId xmlns:a16="http://schemas.microsoft.com/office/drawing/2014/main" id="{3FF2C208-7F2B-4916-9891-23BC65FB2011}"/>
            </a:ext>
          </a:extLst>
        </xdr:cNvPr>
        <xdr:cNvPicPr>
          <a:picLocks noChangeAspect="1"/>
        </xdr:cNvPicPr>
      </xdr:nvPicPr>
      <xdr:blipFill>
        <a:blip xmlns:r="http://schemas.openxmlformats.org/officeDocument/2006/relationships" r:embed="rId1">
          <a:lum/>
          <a:alphaModFix/>
        </a:blip>
        <a:srcRect/>
        <a:stretch>
          <a:fillRect/>
        </a:stretch>
      </xdr:blipFill>
      <xdr:spPr>
        <a:xfrm>
          <a:off x="198333" y="391119"/>
          <a:ext cx="7352598" cy="4427616"/>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ctr@eia.gov" TargetMode="External"/><Relationship Id="rId2" Type="http://schemas.openxmlformats.org/officeDocument/2006/relationships/hyperlink" Target="http://www.eia.gov/" TargetMode="External"/><Relationship Id="rId1" Type="http://schemas.openxmlformats.org/officeDocument/2006/relationships/hyperlink" Target="http://www.eia.gov/dnav/ng/ng_cons_sum_dcu_smd_a.htm"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www.extension.iastate.edu/agdm/wholefarm/html/c6-89.html" TargetMode="External"/><Relationship Id="rId7" Type="http://schemas.openxmlformats.org/officeDocument/2006/relationships/vmlDrawing" Target="../drawings/vmlDrawing8.vml"/><Relationship Id="rId2" Type="http://schemas.openxmlformats.org/officeDocument/2006/relationships/hyperlink" Target="https://archive.ipcc.ch/pdf/assessment-report/ar5/syr/SYR_AR5_FINAL_full_wcover.pdf" TargetMode="External"/><Relationship Id="rId1" Type="http://schemas.openxmlformats.org/officeDocument/2006/relationships/hyperlink" Target="https://www.edf.org/energy/methaneleakage" TargetMode="External"/><Relationship Id="rId6" Type="http://schemas.openxmlformats.org/officeDocument/2006/relationships/hyperlink" Target="https://www.epa.gov/natural-gas-star-program/overview-oil-and-natural-gas-industry" TargetMode="External"/><Relationship Id="rId5" Type="http://schemas.openxmlformats.org/officeDocument/2006/relationships/hyperlink" Target="https://insideclimatenews.org/news/16022018/methane-leaks-oil-natural-gas-data-global-warming-pennsylvania-edf-study" TargetMode="External"/><Relationship Id="rId4" Type="http://schemas.openxmlformats.org/officeDocument/2006/relationships/hyperlink" Target="https://www.epa.gov/natural-gas-star-program/overview-oil-and-natural-gas-industry"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epa.gov/natural-gas-star-program/overview-oil-and-natural-gas-industry" TargetMode="External"/><Relationship Id="rId7" Type="http://schemas.openxmlformats.org/officeDocument/2006/relationships/vmlDrawing" Target="../drawings/vmlDrawing1.vml"/><Relationship Id="rId2" Type="http://schemas.openxmlformats.org/officeDocument/2006/relationships/hyperlink" Target="https://www.extension.iastate.edu/agdm/wholefarm/html/c6-89.html" TargetMode="External"/><Relationship Id="rId1" Type="http://schemas.openxmlformats.org/officeDocument/2006/relationships/hyperlink" Target="https://www.edf.org/energy/methaneleakage" TargetMode="External"/><Relationship Id="rId6" Type="http://schemas.openxmlformats.org/officeDocument/2006/relationships/printerSettings" Target="../printerSettings/printerSettings1.bin"/><Relationship Id="rId5" Type="http://schemas.openxmlformats.org/officeDocument/2006/relationships/hyperlink" Target="https://www.epa.gov/natural-gas-star-program/overview-oil-and-natural-gas-industry" TargetMode="External"/><Relationship Id="rId4" Type="http://schemas.openxmlformats.org/officeDocument/2006/relationships/hyperlink" Target="https://insideclimatenews.org/news/16022018/methane-leaks-oil-natural-gas-data-global-warming-pennsylvania-edf-study" TargetMode="Externa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extension.iastate.edu/agdm/wholefarm/html/c6-89.html" TargetMode="External"/><Relationship Id="rId7" Type="http://schemas.openxmlformats.org/officeDocument/2006/relationships/vmlDrawing" Target="../drawings/vmlDrawing2.vml"/><Relationship Id="rId2" Type="http://schemas.openxmlformats.org/officeDocument/2006/relationships/hyperlink" Target="https://archive.ipcc.ch/pdf/assessment-report/ar5/syr/SYR_AR5_FINAL_full_wcover.pdf" TargetMode="External"/><Relationship Id="rId1" Type="http://schemas.openxmlformats.org/officeDocument/2006/relationships/hyperlink" Target="https://www.edf.org/energy/methaneleakage" TargetMode="External"/><Relationship Id="rId6" Type="http://schemas.openxmlformats.org/officeDocument/2006/relationships/hyperlink" Target="https://www.epa.gov/natural-gas-star-program/overview-oil-and-natural-gas-industry" TargetMode="External"/><Relationship Id="rId5" Type="http://schemas.openxmlformats.org/officeDocument/2006/relationships/hyperlink" Target="https://insideclimatenews.org/news/16022018/methane-leaks-oil-natural-gas-data-global-warming-pennsylvania-edf-study" TargetMode="External"/><Relationship Id="rId4" Type="http://schemas.openxmlformats.org/officeDocument/2006/relationships/hyperlink" Target="https://www.epa.gov/natural-gas-star-program/overview-oil-and-natural-gas-indust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pa.gov/natural-gas-star-program/overview-oil-and-natural-gas-industry" TargetMode="External"/><Relationship Id="rId7" Type="http://schemas.openxmlformats.org/officeDocument/2006/relationships/comments" Target="../comments3.xml"/><Relationship Id="rId2" Type="http://schemas.openxmlformats.org/officeDocument/2006/relationships/hyperlink" Target="https://www.extension.iastate.edu/agdm/wholefarm/html/c6-89.html" TargetMode="External"/><Relationship Id="rId1" Type="http://schemas.openxmlformats.org/officeDocument/2006/relationships/hyperlink" Target="https://www.edf.org/energy/methaneleakage" TargetMode="External"/><Relationship Id="rId6" Type="http://schemas.openxmlformats.org/officeDocument/2006/relationships/vmlDrawing" Target="../drawings/vmlDrawing3.vml"/><Relationship Id="rId5" Type="http://schemas.openxmlformats.org/officeDocument/2006/relationships/hyperlink" Target="https://www.epa.gov/natural-gas-star-program/overview-oil-and-natural-gas-industry" TargetMode="External"/><Relationship Id="rId4" Type="http://schemas.openxmlformats.org/officeDocument/2006/relationships/hyperlink" Target="https://insideclimatenews.org/news/16022018/methane-leaks-oil-natural-gas-data-global-warming-pennsylvania-edf-study" TargetMode="Externa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www.extension.iastate.edu/agdm/wholefarm/html/c6-89.html" TargetMode="External"/><Relationship Id="rId7" Type="http://schemas.openxmlformats.org/officeDocument/2006/relationships/vmlDrawing" Target="../drawings/vmlDrawing4.vml"/><Relationship Id="rId2" Type="http://schemas.openxmlformats.org/officeDocument/2006/relationships/hyperlink" Target="https://archive.ipcc.ch/pdf/assessment-report/ar5/syr/SYR_AR5_FINAL_full_wcover.pdf" TargetMode="External"/><Relationship Id="rId1" Type="http://schemas.openxmlformats.org/officeDocument/2006/relationships/hyperlink" Target="https://www.edf.org/energy/methaneleakage" TargetMode="External"/><Relationship Id="rId6" Type="http://schemas.openxmlformats.org/officeDocument/2006/relationships/hyperlink" Target="https://www.epa.gov/natural-gas-star-program/overview-oil-and-natural-gas-industry" TargetMode="External"/><Relationship Id="rId5" Type="http://schemas.openxmlformats.org/officeDocument/2006/relationships/hyperlink" Target="https://insideclimatenews.org/news/16022018/methane-leaks-oil-natural-gas-data-global-warming-pennsylvania-edf-study" TargetMode="External"/><Relationship Id="rId4" Type="http://schemas.openxmlformats.org/officeDocument/2006/relationships/hyperlink" Target="https://www.epa.gov/natural-gas-star-program/overview-oil-and-natural-gas-industr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epa.gov/natural-gas-star-program/overview-oil-and-natural-gas-industry" TargetMode="External"/><Relationship Id="rId7" Type="http://schemas.openxmlformats.org/officeDocument/2006/relationships/comments" Target="../comments5.xml"/><Relationship Id="rId2" Type="http://schemas.openxmlformats.org/officeDocument/2006/relationships/hyperlink" Target="https://www.extension.iastate.edu/agdm/wholefarm/html/c6-89.html" TargetMode="External"/><Relationship Id="rId1" Type="http://schemas.openxmlformats.org/officeDocument/2006/relationships/hyperlink" Target="https://www.edf.org/energy/methaneleakage" TargetMode="External"/><Relationship Id="rId6" Type="http://schemas.openxmlformats.org/officeDocument/2006/relationships/vmlDrawing" Target="../drawings/vmlDrawing5.vml"/><Relationship Id="rId5" Type="http://schemas.openxmlformats.org/officeDocument/2006/relationships/hyperlink" Target="https://www.epa.gov/natural-gas-star-program/overview-oil-and-natural-gas-industry" TargetMode="External"/><Relationship Id="rId4" Type="http://schemas.openxmlformats.org/officeDocument/2006/relationships/hyperlink" Target="https://insideclimatenews.org/news/16022018/methane-leaks-oil-natural-gas-data-global-warming-pennsylvania-edf-study" TargetMode="External"/></Relationships>
</file>

<file path=xl/worksheets/_rels/sheet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www.extension.iastate.edu/agdm/wholefarm/html/c6-89.html" TargetMode="External"/><Relationship Id="rId7" Type="http://schemas.openxmlformats.org/officeDocument/2006/relationships/vmlDrawing" Target="../drawings/vmlDrawing6.vml"/><Relationship Id="rId2" Type="http://schemas.openxmlformats.org/officeDocument/2006/relationships/hyperlink" Target="https://archive.ipcc.ch/pdf/assessment-report/ar5/syr/SYR_AR5_FINAL_full_wcover.pdf" TargetMode="External"/><Relationship Id="rId1" Type="http://schemas.openxmlformats.org/officeDocument/2006/relationships/hyperlink" Target="https://www.edf.org/energy/methaneleakage" TargetMode="External"/><Relationship Id="rId6" Type="http://schemas.openxmlformats.org/officeDocument/2006/relationships/hyperlink" Target="https://www.epa.gov/natural-gas-star-program/overview-oil-and-natural-gas-industry" TargetMode="External"/><Relationship Id="rId5" Type="http://schemas.openxmlformats.org/officeDocument/2006/relationships/hyperlink" Target="https://insideclimatenews.org/news/16022018/methane-leaks-oil-natural-gas-data-global-warming-pennsylvania-edf-study" TargetMode="External"/><Relationship Id="rId4" Type="http://schemas.openxmlformats.org/officeDocument/2006/relationships/hyperlink" Target="https://www.epa.gov/natural-gas-star-program/overview-oil-and-natural-gas-industr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pa.gov/natural-gas-star-program/overview-oil-and-natural-gas-industry" TargetMode="External"/><Relationship Id="rId7" Type="http://schemas.openxmlformats.org/officeDocument/2006/relationships/comments" Target="../comments7.xml"/><Relationship Id="rId2" Type="http://schemas.openxmlformats.org/officeDocument/2006/relationships/hyperlink" Target="https://www.extension.iastate.edu/agdm/wholefarm/html/c6-89.html" TargetMode="External"/><Relationship Id="rId1" Type="http://schemas.openxmlformats.org/officeDocument/2006/relationships/hyperlink" Target="https://www.edf.org/energy/methaneleakage" TargetMode="External"/><Relationship Id="rId6" Type="http://schemas.openxmlformats.org/officeDocument/2006/relationships/vmlDrawing" Target="../drawings/vmlDrawing7.vml"/><Relationship Id="rId5" Type="http://schemas.openxmlformats.org/officeDocument/2006/relationships/hyperlink" Target="https://www.epa.gov/natural-gas-star-program/overview-oil-and-natural-gas-industry" TargetMode="External"/><Relationship Id="rId4" Type="http://schemas.openxmlformats.org/officeDocument/2006/relationships/hyperlink" Target="https://insideclimatenews.org/news/16022018/methane-leaks-oil-natural-gas-data-global-warming-pennsylvania-edf-stu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6"/>
  <sheetViews>
    <sheetView workbookViewId="0"/>
  </sheetViews>
  <sheetFormatPr defaultRowHeight="14.25"/>
  <cols>
    <col min="1" max="1" width="4.375" customWidth="1"/>
    <col min="2" max="2" width="24.625" customWidth="1"/>
    <col min="3" max="3" width="52.875" customWidth="1"/>
    <col min="4" max="4" width="10.625" customWidth="1"/>
    <col min="5" max="5" width="12.25" customWidth="1"/>
    <col min="6" max="6" width="17.625" customWidth="1"/>
    <col min="7" max="7" width="12.25" customWidth="1"/>
    <col min="8" max="1024" width="8.5" customWidth="1"/>
  </cols>
  <sheetData>
    <row r="2" spans="2:7" ht="18">
      <c r="B2" s="1" t="s">
        <v>0</v>
      </c>
    </row>
    <row r="3" spans="2:7" ht="15">
      <c r="B3" s="2" t="s">
        <v>1</v>
      </c>
      <c r="C3" s="3"/>
      <c r="D3" s="3"/>
      <c r="E3" s="3"/>
      <c r="F3" s="3"/>
    </row>
    <row r="4" spans="2:7">
      <c r="B4" s="4"/>
      <c r="C4" s="3"/>
      <c r="D4" s="3"/>
      <c r="E4" s="3"/>
      <c r="F4" s="3"/>
    </row>
    <row r="5" spans="2:7">
      <c r="B5" s="4" t="s">
        <v>2</v>
      </c>
      <c r="C5" s="3"/>
      <c r="D5" s="3"/>
      <c r="E5" s="3"/>
      <c r="F5" s="3"/>
    </row>
    <row r="6" spans="2:7">
      <c r="B6" s="5" t="s">
        <v>3</v>
      </c>
      <c r="C6" s="6" t="s">
        <v>4</v>
      </c>
      <c r="D6" s="7" t="s">
        <v>5</v>
      </c>
      <c r="E6" s="6" t="s">
        <v>6</v>
      </c>
      <c r="F6" s="6" t="s">
        <v>7</v>
      </c>
    </row>
    <row r="7" spans="2:7">
      <c r="B7" t="s">
        <v>8</v>
      </c>
      <c r="C7" s="8" t="s">
        <v>1</v>
      </c>
      <c r="D7" s="9">
        <v>10</v>
      </c>
      <c r="E7" s="8" t="s">
        <v>9</v>
      </c>
      <c r="F7" s="8">
        <v>2017</v>
      </c>
      <c r="G7" s="10" t="s">
        <v>10</v>
      </c>
    </row>
    <row r="9" spans="2:7">
      <c r="B9" t="s">
        <v>11</v>
      </c>
      <c r="C9" s="3" t="s">
        <v>12</v>
      </c>
    </row>
    <row r="10" spans="2:7">
      <c r="B10" t="s">
        <v>13</v>
      </c>
      <c r="C10" s="3" t="s">
        <v>14</v>
      </c>
    </row>
    <row r="12" spans="2:7">
      <c r="B12" t="s">
        <v>15</v>
      </c>
      <c r="C12" s="11" t="s">
        <v>16</v>
      </c>
    </row>
    <row r="13" spans="2:7">
      <c r="B13" t="s">
        <v>17</v>
      </c>
      <c r="C13" s="12" t="s">
        <v>18</v>
      </c>
    </row>
    <row r="14" spans="2:7">
      <c r="B14" t="s">
        <v>19</v>
      </c>
      <c r="C14" s="13" t="s">
        <v>20</v>
      </c>
    </row>
    <row r="15" spans="2:7">
      <c r="B15" t="s">
        <v>21</v>
      </c>
      <c r="C15" s="13" t="s">
        <v>22</v>
      </c>
    </row>
    <row r="16" spans="2:7">
      <c r="C16" t="s">
        <v>23</v>
      </c>
      <c r="F16" s="10" t="s">
        <v>24</v>
      </c>
    </row>
  </sheetData>
  <sheetProtection algorithmName="SHA-512" hashValue="MSmm6ZB6QJEi1GcaqTOYtMUk1loUYsZK0eFyw4AY4/S/OPfiExOFMZQmVyc9oyTIwP9/bwPPTewJS19icRVvmw==" saltValue="SDN5IIEwL4Y0D1Lk5BntkA==" spinCount="100000" sheet="1" objects="1" scenarios="1"/>
  <hyperlinks>
    <hyperlink ref="C13" r:id="rId1" xr:uid="{00000000-0004-0000-0000-000000000000}"/>
    <hyperlink ref="C14" r:id="rId2" xr:uid="{00000000-0004-0000-0000-000001000000}"/>
    <hyperlink ref="C15" r:id="rId3" xr:uid="{00000000-0004-0000-0000-000002000000}"/>
  </hyperlinks>
  <pageMargins left="0.75000000000000011" right="0.75000000000000011" top="1.3937000000000002" bottom="1.3937000000000002" header="1" footer="1"/>
  <pageSetup paperSize="0"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5"/>
  <sheetViews>
    <sheetView topLeftCell="A37" workbookViewId="0">
      <selection activeCell="K54" sqref="K54"/>
    </sheetView>
  </sheetViews>
  <sheetFormatPr defaultRowHeight="14.25"/>
  <cols>
    <col min="1" max="1" width="14" customWidth="1"/>
    <col min="2" max="2" width="40.125" customWidth="1"/>
    <col min="3" max="3" width="9.875" customWidth="1"/>
    <col min="4" max="4" width="14.875" customWidth="1"/>
    <col min="5" max="5" width="12.125" customWidth="1"/>
    <col min="6" max="7" width="8.625" customWidth="1"/>
    <col min="8" max="8" width="11.375" bestFit="1" customWidth="1"/>
    <col min="9" max="10" width="8"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33" t="s">
        <v>83</v>
      </c>
      <c r="D3" s="17" t="s">
        <v>63</v>
      </c>
      <c r="E3" s="17" t="s">
        <v>64</v>
      </c>
      <c r="F3" s="17" t="s">
        <v>65</v>
      </c>
      <c r="G3" s="17" t="s">
        <v>66</v>
      </c>
      <c r="H3" s="17" t="s">
        <v>67</v>
      </c>
      <c r="I3" s="17" t="s">
        <v>68</v>
      </c>
      <c r="J3" s="17" t="s">
        <v>69</v>
      </c>
      <c r="K3" s="17" t="s">
        <v>70</v>
      </c>
    </row>
    <row r="4" spans="1:11" hidden="1">
      <c r="A4" s="19">
        <v>24653</v>
      </c>
    </row>
    <row r="5" spans="1:11" hidden="1">
      <c r="A5" s="19">
        <v>25019</v>
      </c>
    </row>
    <row r="6" spans="1:11" hidden="1">
      <c r="A6" s="19">
        <v>25384</v>
      </c>
    </row>
    <row r="7" spans="1:11" hidden="1">
      <c r="A7" s="19">
        <v>25749</v>
      </c>
    </row>
    <row r="8" spans="1:11" hidden="1">
      <c r="A8" s="19">
        <v>26114</v>
      </c>
    </row>
    <row r="9" spans="1:11" hidden="1">
      <c r="A9" s="19">
        <v>26480</v>
      </c>
    </row>
    <row r="10" spans="1:11" hidden="1">
      <c r="A10" s="19">
        <v>26845</v>
      </c>
    </row>
    <row r="11" spans="1:11" hidden="1">
      <c r="A11" s="19">
        <v>27210</v>
      </c>
    </row>
    <row r="12" spans="1:11" hidden="1">
      <c r="A12" s="19">
        <v>27575</v>
      </c>
    </row>
    <row r="13" spans="1:11" hidden="1">
      <c r="A13" s="19">
        <v>27941</v>
      </c>
    </row>
    <row r="14" spans="1:11" hidden="1">
      <c r="A14" s="19">
        <v>28306</v>
      </c>
    </row>
    <row r="15" spans="1:11" hidden="1">
      <c r="A15" s="19">
        <v>28671</v>
      </c>
    </row>
    <row r="16" spans="1:11" hidden="1">
      <c r="A16" s="19">
        <v>29036</v>
      </c>
    </row>
    <row r="17" spans="1:1" hidden="1">
      <c r="A17" s="19">
        <v>29402</v>
      </c>
    </row>
    <row r="18" spans="1:1" hidden="1">
      <c r="A18" s="19">
        <v>29767</v>
      </c>
    </row>
    <row r="19" spans="1:1" hidden="1">
      <c r="A19" s="19">
        <v>30132</v>
      </c>
    </row>
    <row r="20" spans="1:1" hidden="1">
      <c r="A20" s="19">
        <v>30497</v>
      </c>
    </row>
    <row r="21" spans="1:1" hidden="1">
      <c r="A21" s="19">
        <v>30863</v>
      </c>
    </row>
    <row r="22" spans="1:1" hidden="1">
      <c r="A22" s="19">
        <v>31228</v>
      </c>
    </row>
    <row r="23" spans="1:1" hidden="1">
      <c r="A23" s="19">
        <v>31593</v>
      </c>
    </row>
    <row r="24" spans="1:1" hidden="1">
      <c r="A24" s="19">
        <v>31958</v>
      </c>
    </row>
    <row r="25" spans="1:1" hidden="1">
      <c r="A25" s="19">
        <v>32324</v>
      </c>
    </row>
    <row r="26" spans="1:1" hidden="1">
      <c r="A26" s="19">
        <v>32689</v>
      </c>
    </row>
    <row r="27" spans="1:1" hidden="1">
      <c r="A27" s="19">
        <v>33054</v>
      </c>
    </row>
    <row r="28" spans="1:1" hidden="1">
      <c r="A28" s="19">
        <v>33419</v>
      </c>
    </row>
    <row r="29" spans="1:1" hidden="1">
      <c r="A29" s="19">
        <v>33785</v>
      </c>
    </row>
    <row r="30" spans="1:1" hidden="1">
      <c r="A30" s="19">
        <v>34150</v>
      </c>
    </row>
    <row r="31" spans="1:1" hidden="1">
      <c r="A31" s="19">
        <v>34515</v>
      </c>
    </row>
    <row r="32" spans="1:1" hidden="1">
      <c r="A32" s="19">
        <v>34880</v>
      </c>
    </row>
    <row r="33" spans="1:12" hidden="1">
      <c r="A33" s="19">
        <v>35246</v>
      </c>
    </row>
    <row r="34" spans="1:12">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B44*0.67</f>
        <v>134705.51</v>
      </c>
      <c r="D44" s="24">
        <f t="shared" ref="D44:D54" si="1">C44*1000000</f>
        <v>134705510000.00002</v>
      </c>
      <c r="E44" s="25">
        <f t="shared" ref="E44:E54" si="2">D44/$C$63</f>
        <v>2766026.899383984</v>
      </c>
      <c r="F44" s="25">
        <f t="shared" ref="F44:F54" si="3">E44*$C$60</f>
        <v>69150.672484599607</v>
      </c>
      <c r="G44" s="25">
        <f t="shared" ref="G44:G54" si="4">F44*$C$64</f>
        <v>67767.659034907614</v>
      </c>
      <c r="H44" s="25">
        <f t="shared" ref="H44:H54" si="5">G44*$C$62</f>
        <v>5692483.3589322399</v>
      </c>
      <c r="I44">
        <f t="shared" ref="I44:I54" si="6">H44/1000000</f>
        <v>5.6924833589322397</v>
      </c>
      <c r="J44">
        <f t="shared" ref="J44:J54" si="7">I44*$C$58</f>
        <v>4.8792714505133477</v>
      </c>
      <c r="K44">
        <f>J44+'PA Frack Wells (84)'!$D$79</f>
        <v>5.0150575712105168</v>
      </c>
    </row>
    <row r="45" spans="1:12">
      <c r="A45" s="19">
        <v>39629</v>
      </c>
      <c r="B45" s="24">
        <v>196067</v>
      </c>
      <c r="C45" s="24">
        <f t="shared" si="0"/>
        <v>131364.89000000001</v>
      </c>
      <c r="D45" s="24">
        <f t="shared" si="1"/>
        <v>131364890000.00002</v>
      </c>
      <c r="E45" s="25">
        <f t="shared" si="2"/>
        <v>2697431.0061601647</v>
      </c>
      <c r="F45" s="25">
        <f t="shared" si="3"/>
        <v>67435.775154004121</v>
      </c>
      <c r="G45" s="25">
        <f t="shared" si="4"/>
        <v>66087.059650924042</v>
      </c>
      <c r="H45" s="25">
        <f t="shared" si="5"/>
        <v>5551313.0106776198</v>
      </c>
      <c r="I45">
        <f t="shared" si="6"/>
        <v>5.5513130106776201</v>
      </c>
      <c r="J45">
        <f t="shared" si="7"/>
        <v>4.7582682948665314</v>
      </c>
      <c r="K45">
        <f>J45+'PA Frack Wells (84)'!$D$79</f>
        <v>4.8940544155637005</v>
      </c>
    </row>
    <row r="46" spans="1:12">
      <c r="A46" s="19">
        <v>39994</v>
      </c>
      <c r="B46" s="24">
        <v>196510</v>
      </c>
      <c r="C46" s="24">
        <f t="shared" si="0"/>
        <v>131661.70000000001</v>
      </c>
      <c r="D46" s="24">
        <f t="shared" si="1"/>
        <v>131661700000.00002</v>
      </c>
      <c r="E46" s="25">
        <f t="shared" si="2"/>
        <v>2703525.6673511295</v>
      </c>
      <c r="F46" s="25">
        <f t="shared" si="3"/>
        <v>67588.141683778245</v>
      </c>
      <c r="G46" s="25">
        <f t="shared" si="4"/>
        <v>66236.378850102672</v>
      </c>
      <c r="H46" s="25">
        <f t="shared" si="5"/>
        <v>5563855.8234086242</v>
      </c>
      <c r="I46">
        <f t="shared" si="6"/>
        <v>5.5638558234086242</v>
      </c>
      <c r="J46">
        <f t="shared" si="7"/>
        <v>4.7690192772073923</v>
      </c>
      <c r="K46">
        <f>J46+'PA Frack Wells (84)'!$D$79</f>
        <v>4.9048053979045614</v>
      </c>
    </row>
    <row r="47" spans="1:12">
      <c r="A47" s="19">
        <v>40359</v>
      </c>
      <c r="B47" s="24">
        <v>212020</v>
      </c>
      <c r="C47" s="24">
        <f t="shared" si="0"/>
        <v>142053.4</v>
      </c>
      <c r="D47" s="24">
        <f t="shared" si="1"/>
        <v>142053400000</v>
      </c>
      <c r="E47" s="25">
        <f t="shared" si="2"/>
        <v>2916907.5975359343</v>
      </c>
      <c r="F47" s="25">
        <f t="shared" si="3"/>
        <v>72922.689938398355</v>
      </c>
      <c r="G47" s="25">
        <f t="shared" si="4"/>
        <v>71464.23613963039</v>
      </c>
      <c r="H47" s="25">
        <f t="shared" si="5"/>
        <v>6002995.8357289527</v>
      </c>
      <c r="I47">
        <f t="shared" si="6"/>
        <v>6.002995835728953</v>
      </c>
      <c r="J47">
        <f t="shared" si="7"/>
        <v>5.145425002053388</v>
      </c>
      <c r="K47">
        <f>J47+'PA Frack Wells (84)'!$D$79</f>
        <v>5.2812111227505572</v>
      </c>
    </row>
    <row r="48" spans="1:12">
      <c r="A48" s="19">
        <v>40724</v>
      </c>
      <c r="B48" s="24">
        <v>193986</v>
      </c>
      <c r="C48" s="24">
        <f t="shared" si="0"/>
        <v>129970.62000000001</v>
      </c>
      <c r="D48" s="24">
        <f t="shared" si="1"/>
        <v>129970620000.00002</v>
      </c>
      <c r="E48" s="25">
        <f t="shared" si="2"/>
        <v>2668801.2320328546</v>
      </c>
      <c r="F48" s="25">
        <f t="shared" si="3"/>
        <v>66720.030800821361</v>
      </c>
      <c r="G48" s="25">
        <f t="shared" si="4"/>
        <v>65385.630184804933</v>
      </c>
      <c r="H48" s="25">
        <f t="shared" si="5"/>
        <v>5492392.9355236143</v>
      </c>
      <c r="I48">
        <f t="shared" si="6"/>
        <v>5.4923929355236139</v>
      </c>
      <c r="J48">
        <f t="shared" si="7"/>
        <v>4.7077653733059543</v>
      </c>
      <c r="K48">
        <f>J48+'PA Frack Wells (84)'!$D$79</f>
        <v>4.8435514940031235</v>
      </c>
    </row>
    <row r="49" spans="1:12">
      <c r="A49" s="19">
        <v>41090</v>
      </c>
      <c r="B49" s="24">
        <v>208946</v>
      </c>
      <c r="C49" s="24">
        <f t="shared" si="0"/>
        <v>139993.82</v>
      </c>
      <c r="D49" s="24">
        <f t="shared" si="1"/>
        <v>139993820000</v>
      </c>
      <c r="E49" s="25">
        <f t="shared" si="2"/>
        <v>2874616.4271047227</v>
      </c>
      <c r="F49" s="25">
        <f t="shared" si="3"/>
        <v>71865.410677618071</v>
      </c>
      <c r="G49" s="25">
        <f t="shared" si="4"/>
        <v>70428.102464065712</v>
      </c>
      <c r="H49" s="25">
        <f t="shared" si="5"/>
        <v>5915960.6069815196</v>
      </c>
      <c r="I49">
        <f t="shared" si="6"/>
        <v>5.9159606069815194</v>
      </c>
      <c r="J49">
        <f t="shared" si="7"/>
        <v>5.0708233774127303</v>
      </c>
      <c r="K49">
        <f>J49+'PA Frack Wells (84)'!$D$79</f>
        <v>5.2066094981098994</v>
      </c>
    </row>
    <row r="50" spans="1:12">
      <c r="A50" s="19">
        <v>41455</v>
      </c>
      <c r="B50" s="24">
        <v>197356</v>
      </c>
      <c r="C50" s="24">
        <f t="shared" si="0"/>
        <v>132228.52000000002</v>
      </c>
      <c r="D50" s="24">
        <f t="shared" si="1"/>
        <v>132228520000.00002</v>
      </c>
      <c r="E50" s="25">
        <f t="shared" si="2"/>
        <v>2715164.6817248464</v>
      </c>
      <c r="F50" s="25">
        <f t="shared" si="3"/>
        <v>67879.117043121165</v>
      </c>
      <c r="G50" s="25">
        <f t="shared" si="4"/>
        <v>66521.534702258738</v>
      </c>
      <c r="H50" s="25">
        <f t="shared" si="5"/>
        <v>5587808.9149897341</v>
      </c>
      <c r="I50">
        <f t="shared" si="6"/>
        <v>5.5878089149897336</v>
      </c>
      <c r="J50">
        <f t="shared" si="7"/>
        <v>4.7895504985626287</v>
      </c>
      <c r="K50">
        <f>J50+'PA Frack Wells (84)'!$D$79</f>
        <v>4.9253366192597978</v>
      </c>
    </row>
    <row r="51" spans="1:12">
      <c r="A51" s="19">
        <v>41820</v>
      </c>
      <c r="B51" s="24">
        <v>207103</v>
      </c>
      <c r="C51" s="24">
        <f t="shared" si="0"/>
        <v>138759.01</v>
      </c>
      <c r="D51" s="24">
        <f t="shared" si="1"/>
        <v>138759010000</v>
      </c>
      <c r="E51" s="25">
        <f t="shared" si="2"/>
        <v>2849260.9856262836</v>
      </c>
      <c r="F51" s="25">
        <f t="shared" si="3"/>
        <v>71231.524640657095</v>
      </c>
      <c r="G51" s="25">
        <f t="shared" si="4"/>
        <v>69806.894147843952</v>
      </c>
      <c r="H51" s="25">
        <f t="shared" si="5"/>
        <v>5863779.1084188921</v>
      </c>
      <c r="I51">
        <f t="shared" si="6"/>
        <v>5.8637791084188917</v>
      </c>
      <c r="J51">
        <f t="shared" si="7"/>
        <v>5.0260963786447643</v>
      </c>
      <c r="K51">
        <f>J51+'PA Frack Wells (84)'!$D$79</f>
        <v>5.1618824993419334</v>
      </c>
    </row>
    <row r="52" spans="1:12">
      <c r="A52" s="19">
        <v>42185</v>
      </c>
      <c r="B52" s="24">
        <v>215005</v>
      </c>
      <c r="C52" s="24">
        <f t="shared" si="0"/>
        <v>144053.35</v>
      </c>
      <c r="D52" s="24">
        <f t="shared" si="1"/>
        <v>144053350000</v>
      </c>
      <c r="E52" s="25">
        <f t="shared" si="2"/>
        <v>2957974.3326488705</v>
      </c>
      <c r="F52" s="25">
        <f t="shared" si="3"/>
        <v>73949.358316221769</v>
      </c>
      <c r="G52" s="25">
        <f t="shared" si="4"/>
        <v>72470.371149897328</v>
      </c>
      <c r="H52" s="25">
        <f t="shared" si="5"/>
        <v>6087511.1765913758</v>
      </c>
      <c r="I52">
        <f t="shared" si="6"/>
        <v>6.0875111765913754</v>
      </c>
      <c r="J52">
        <f t="shared" si="7"/>
        <v>5.217866722792607</v>
      </c>
      <c r="K52">
        <f>J52+'PA Frack Wells (84)'!$D$79</f>
        <v>5.3536528434897761</v>
      </c>
    </row>
    <row r="53" spans="1:12">
      <c r="A53" s="19">
        <v>42551</v>
      </c>
      <c r="B53" s="24">
        <v>219024</v>
      </c>
      <c r="C53" s="24">
        <f t="shared" si="0"/>
        <v>146746.08000000002</v>
      </c>
      <c r="D53" s="24">
        <f t="shared" si="1"/>
        <v>146746080000.00003</v>
      </c>
      <c r="E53" s="25">
        <f t="shared" si="2"/>
        <v>3013266.529774128</v>
      </c>
      <c r="F53" s="25">
        <f t="shared" si="3"/>
        <v>75331.6632443532</v>
      </c>
      <c r="G53" s="25">
        <f t="shared" si="4"/>
        <v>73825.029979466141</v>
      </c>
      <c r="H53" s="25">
        <f t="shared" si="5"/>
        <v>6201302.5182751557</v>
      </c>
      <c r="I53">
        <f t="shared" si="6"/>
        <v>6.2013025182751553</v>
      </c>
      <c r="J53">
        <f t="shared" si="7"/>
        <v>5.3154021585215618</v>
      </c>
      <c r="K53">
        <f>J53+'PA Frack Wells (84)'!$D$79</f>
        <v>5.4511882792187309</v>
      </c>
    </row>
    <row r="54" spans="1:12">
      <c r="A54" s="19">
        <v>42916</v>
      </c>
      <c r="B54" s="24">
        <v>222877</v>
      </c>
      <c r="C54" s="24">
        <f t="shared" si="0"/>
        <v>149327.59</v>
      </c>
      <c r="D54" s="24">
        <f t="shared" si="1"/>
        <v>149327590000</v>
      </c>
      <c r="E54" s="25">
        <f t="shared" si="2"/>
        <v>3066274.9486652976</v>
      </c>
      <c r="F54" s="25">
        <f t="shared" si="3"/>
        <v>76656.873716632443</v>
      </c>
      <c r="G54" s="25">
        <f t="shared" si="4"/>
        <v>75123.736242299798</v>
      </c>
      <c r="H54" s="25">
        <f t="shared" si="5"/>
        <v>6310393.8443531832</v>
      </c>
      <c r="I54">
        <f t="shared" si="6"/>
        <v>6.3103938443531833</v>
      </c>
      <c r="J54">
        <f t="shared" si="7"/>
        <v>5.4089090094455852</v>
      </c>
      <c r="K54">
        <f>J54+'PA Frack Wells (84)'!$D$79</f>
        <v>5.5446951301427543</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84</v>
      </c>
      <c r="G62" s="12" t="s">
        <v>81</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6" spans="2:9">
      <c r="B66" s="20"/>
      <c r="C66" s="28"/>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U+WyWWHsamEvjh7kq3xGPkK7LPtX8BW+VZVNAdzpuA8CUYYgH8rXkGRDZThyvRY9gWlTTCpAJ6LdjQyYwK2ZNw==" saltValue="aj53R3oZ4rECW41f2dFNAg=="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900-000000000000}"/>
    <hyperlink ref="G60" r:id="rId1" xr:uid="{00000000-0004-0000-0900-000001000000}"/>
    <hyperlink ref="G62" r:id="rId2" xr:uid="{00000000-0004-0000-0900-000002000000}"/>
    <hyperlink ref="G63" r:id="rId3" xr:uid="{00000000-0004-0000-0900-000003000000}"/>
    <hyperlink ref="G65" r:id="rId4" xr:uid="{00000000-0004-0000-0900-000004000000}"/>
    <hyperlink ref="B71" r:id="rId5" xr:uid="{00000000-0004-0000-0900-000005000000}"/>
    <hyperlink ref="B75" r:id="rId6" xr:uid="{00000000-0004-0000-0900-000006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9"/>
  <sheetViews>
    <sheetView topLeftCell="A49" workbookViewId="0">
      <selection activeCell="D70" sqref="D70"/>
    </sheetView>
  </sheetViews>
  <sheetFormatPr defaultRowHeight="14.25"/>
  <cols>
    <col min="1" max="1" width="33.375" customWidth="1"/>
    <col min="2" max="2" width="39" customWidth="1"/>
    <col min="3" max="3" width="19" customWidth="1"/>
    <col min="4" max="4" width="15.5" customWidth="1"/>
    <col min="5" max="5" width="18.375" customWidth="1"/>
    <col min="6" max="6" width="18" customWidth="1"/>
    <col min="7" max="1024" width="8" customWidth="1"/>
  </cols>
  <sheetData>
    <row r="1" spans="1:6" ht="18">
      <c r="A1" s="34" t="s">
        <v>84</v>
      </c>
    </row>
    <row r="2" spans="1:6" s="39" customFormat="1" ht="189">
      <c r="A2" s="35" t="s">
        <v>85</v>
      </c>
      <c r="B2" s="35" t="s">
        <v>86</v>
      </c>
      <c r="C2" s="35" t="s">
        <v>87</v>
      </c>
      <c r="D2" s="36" t="s">
        <v>88</v>
      </c>
      <c r="E2" s="37" t="s">
        <v>89</v>
      </c>
      <c r="F2" s="38" t="s">
        <v>90</v>
      </c>
    </row>
    <row r="3" spans="1:6">
      <c r="A3" t="s">
        <v>91</v>
      </c>
      <c r="B3" t="s">
        <v>92</v>
      </c>
      <c r="C3" t="s">
        <v>93</v>
      </c>
      <c r="D3" s="24">
        <v>11147649</v>
      </c>
      <c r="E3" s="40">
        <v>30990464.219999999</v>
      </c>
      <c r="F3" s="40">
        <v>4361517.67</v>
      </c>
    </row>
    <row r="4" spans="1:6">
      <c r="A4" t="s">
        <v>94</v>
      </c>
      <c r="B4" t="s">
        <v>92</v>
      </c>
      <c r="C4" t="s">
        <v>93</v>
      </c>
      <c r="D4" s="24">
        <v>10188867</v>
      </c>
      <c r="E4" s="40">
        <v>28325050.260000002</v>
      </c>
      <c r="F4" s="40">
        <v>3986394.21</v>
      </c>
    </row>
    <row r="5" spans="1:6">
      <c r="A5" t="s">
        <v>95</v>
      </c>
      <c r="B5" t="s">
        <v>92</v>
      </c>
      <c r="C5" t="s">
        <v>93</v>
      </c>
      <c r="D5" s="24">
        <v>9981502</v>
      </c>
      <c r="E5" s="40">
        <v>27748575.559999999</v>
      </c>
      <c r="F5" s="40">
        <v>3905262.66</v>
      </c>
    </row>
    <row r="6" spans="1:6">
      <c r="A6" t="s">
        <v>96</v>
      </c>
      <c r="B6" t="s">
        <v>97</v>
      </c>
      <c r="C6" t="s">
        <v>93</v>
      </c>
      <c r="D6" s="24">
        <v>9566283</v>
      </c>
      <c r="E6" s="40">
        <v>26594266.739999998</v>
      </c>
      <c r="F6" s="40">
        <v>3742808.22</v>
      </c>
    </row>
    <row r="7" spans="1:6">
      <c r="A7" t="s">
        <v>98</v>
      </c>
      <c r="B7" t="s">
        <v>97</v>
      </c>
      <c r="C7" t="s">
        <v>93</v>
      </c>
      <c r="D7" s="24">
        <v>9051675</v>
      </c>
      <c r="E7" s="40">
        <v>25163656.5</v>
      </c>
      <c r="F7" s="40">
        <v>3541467.84</v>
      </c>
    </row>
    <row r="8" spans="1:6">
      <c r="A8" t="s">
        <v>99</v>
      </c>
      <c r="B8" t="s">
        <v>92</v>
      </c>
      <c r="C8" t="s">
        <v>93</v>
      </c>
      <c r="D8" s="24">
        <v>8894418</v>
      </c>
      <c r="E8" s="40">
        <v>24726482.039999999</v>
      </c>
      <c r="F8" s="40">
        <v>3479941.04</v>
      </c>
    </row>
    <row r="9" spans="1:6">
      <c r="A9" t="s">
        <v>100</v>
      </c>
      <c r="B9" t="s">
        <v>101</v>
      </c>
      <c r="C9" t="s">
        <v>102</v>
      </c>
      <c r="D9" s="24">
        <v>8892389</v>
      </c>
      <c r="E9" s="40">
        <v>24720841.420000002</v>
      </c>
      <c r="F9" s="40">
        <v>3479147.2</v>
      </c>
    </row>
    <row r="10" spans="1:6">
      <c r="A10" t="s">
        <v>103</v>
      </c>
      <c r="B10" t="s">
        <v>101</v>
      </c>
      <c r="C10" t="s">
        <v>102</v>
      </c>
      <c r="D10" s="24">
        <v>8775712</v>
      </c>
      <c r="E10" s="40">
        <v>24396479.359999999</v>
      </c>
      <c r="F10" s="40">
        <v>3433497.32</v>
      </c>
    </row>
    <row r="11" spans="1:6">
      <c r="A11" t="s">
        <v>104</v>
      </c>
      <c r="B11" t="s">
        <v>105</v>
      </c>
      <c r="C11" t="s">
        <v>106</v>
      </c>
      <c r="D11" s="24">
        <v>8336063</v>
      </c>
      <c r="E11" s="40">
        <v>23174255.140000001</v>
      </c>
      <c r="F11" s="40">
        <v>3261484.65</v>
      </c>
    </row>
    <row r="12" spans="1:6">
      <c r="A12" t="s">
        <v>107</v>
      </c>
      <c r="B12" t="s">
        <v>105</v>
      </c>
      <c r="C12" t="s">
        <v>106</v>
      </c>
      <c r="D12" s="24">
        <v>8226795</v>
      </c>
      <c r="E12" s="40">
        <v>22870490.100000001</v>
      </c>
      <c r="F12" s="40">
        <v>3218733.54</v>
      </c>
    </row>
    <row r="13" spans="1:6">
      <c r="A13" t="s">
        <v>108</v>
      </c>
      <c r="B13" t="s">
        <v>105</v>
      </c>
      <c r="C13" t="s">
        <v>106</v>
      </c>
      <c r="D13" s="24">
        <v>8182121</v>
      </c>
      <c r="E13" s="40">
        <v>22746296.379999999</v>
      </c>
      <c r="F13" s="40">
        <v>3201254.84</v>
      </c>
    </row>
    <row r="14" spans="1:6">
      <c r="A14" t="s">
        <v>109</v>
      </c>
      <c r="B14" t="s">
        <v>101</v>
      </c>
      <c r="C14" t="s">
        <v>102</v>
      </c>
      <c r="D14" s="24">
        <v>8098811</v>
      </c>
      <c r="E14" s="40">
        <v>22514694.579999998</v>
      </c>
      <c r="F14" s="40">
        <v>3168659.8</v>
      </c>
    </row>
    <row r="15" spans="1:6">
      <c r="A15" t="s">
        <v>110</v>
      </c>
      <c r="B15" t="s">
        <v>101</v>
      </c>
      <c r="C15" t="s">
        <v>93</v>
      </c>
      <c r="D15" s="24">
        <v>7753259</v>
      </c>
      <c r="E15" s="40">
        <v>21554060.02</v>
      </c>
      <c r="F15" s="40">
        <v>3033462.58</v>
      </c>
    </row>
    <row r="16" spans="1:6">
      <c r="A16" t="s">
        <v>111</v>
      </c>
      <c r="B16" t="s">
        <v>97</v>
      </c>
      <c r="C16" t="s">
        <v>93</v>
      </c>
      <c r="D16" s="24">
        <v>7709554</v>
      </c>
      <c r="E16" s="40">
        <v>21432560.120000001</v>
      </c>
      <c r="F16" s="40">
        <v>3016363</v>
      </c>
    </row>
    <row r="17" spans="1:6">
      <c r="A17" t="s">
        <v>112</v>
      </c>
      <c r="B17" t="s">
        <v>113</v>
      </c>
      <c r="C17" t="s">
        <v>102</v>
      </c>
      <c r="D17" s="24">
        <v>7653677</v>
      </c>
      <c r="E17" s="40">
        <v>21277222.059999999</v>
      </c>
      <c r="F17" s="40">
        <v>2994501.13</v>
      </c>
    </row>
    <row r="18" spans="1:6">
      <c r="A18" t="s">
        <v>114</v>
      </c>
      <c r="B18" t="s">
        <v>115</v>
      </c>
      <c r="C18" t="s">
        <v>93</v>
      </c>
      <c r="D18" s="24">
        <v>7633418</v>
      </c>
      <c r="E18" s="40">
        <v>21220902.039999999</v>
      </c>
      <c r="F18" s="40">
        <v>2986574.79</v>
      </c>
    </row>
    <row r="19" spans="1:6">
      <c r="A19" t="s">
        <v>116</v>
      </c>
      <c r="B19" t="s">
        <v>101</v>
      </c>
      <c r="C19" t="s">
        <v>93</v>
      </c>
      <c r="D19" s="24">
        <v>7590559</v>
      </c>
      <c r="E19" s="40">
        <v>21101754.02</v>
      </c>
      <c r="F19" s="40">
        <v>2969806.21</v>
      </c>
    </row>
    <row r="20" spans="1:6">
      <c r="A20" t="s">
        <v>117</v>
      </c>
      <c r="B20" t="s">
        <v>118</v>
      </c>
      <c r="C20" t="s">
        <v>93</v>
      </c>
      <c r="D20" s="24">
        <v>7550917</v>
      </c>
      <c r="E20" s="40">
        <v>20991549.260000002</v>
      </c>
      <c r="F20" s="40">
        <v>2954296.28</v>
      </c>
    </row>
    <row r="21" spans="1:6">
      <c r="A21" t="s">
        <v>119</v>
      </c>
      <c r="B21" t="s">
        <v>101</v>
      </c>
      <c r="C21" t="s">
        <v>102</v>
      </c>
      <c r="D21" s="24">
        <v>7509289</v>
      </c>
      <c r="E21" s="40">
        <v>20875823.420000002</v>
      </c>
      <c r="F21" s="40">
        <v>2938009.32</v>
      </c>
    </row>
    <row r="22" spans="1:6">
      <c r="A22" t="s">
        <v>120</v>
      </c>
      <c r="B22" t="s">
        <v>121</v>
      </c>
      <c r="C22" t="s">
        <v>93</v>
      </c>
      <c r="D22" s="24">
        <v>7505226</v>
      </c>
      <c r="E22" s="40">
        <v>20864528.280000001</v>
      </c>
      <c r="F22" s="40">
        <v>2936419.67</v>
      </c>
    </row>
    <row r="23" spans="1:6">
      <c r="A23" t="s">
        <v>122</v>
      </c>
      <c r="B23" t="s">
        <v>121</v>
      </c>
      <c r="C23" t="s">
        <v>93</v>
      </c>
      <c r="D23" s="24">
        <v>7491997</v>
      </c>
      <c r="E23" s="40">
        <v>20827751.66</v>
      </c>
      <c r="F23" s="40">
        <v>2931243.83</v>
      </c>
    </row>
    <row r="24" spans="1:6">
      <c r="A24" t="s">
        <v>123</v>
      </c>
      <c r="B24" t="s">
        <v>124</v>
      </c>
      <c r="C24" t="s">
        <v>125</v>
      </c>
      <c r="D24" s="24">
        <v>7341067</v>
      </c>
      <c r="E24" s="40">
        <v>20408166.260000002</v>
      </c>
      <c r="F24" s="40">
        <v>2872192.46</v>
      </c>
    </row>
    <row r="25" spans="1:6">
      <c r="A25" t="s">
        <v>126</v>
      </c>
      <c r="B25" t="s">
        <v>124</v>
      </c>
      <c r="C25" t="s">
        <v>125</v>
      </c>
      <c r="D25" s="24">
        <v>7320787</v>
      </c>
      <c r="E25" s="40">
        <v>20351787.859999999</v>
      </c>
      <c r="F25" s="40">
        <v>2864257.91</v>
      </c>
    </row>
    <row r="26" spans="1:6">
      <c r="A26" t="s">
        <v>127</v>
      </c>
      <c r="B26" t="s">
        <v>115</v>
      </c>
      <c r="C26" t="s">
        <v>93</v>
      </c>
      <c r="D26" s="24">
        <v>7237383</v>
      </c>
      <c r="E26" s="40">
        <v>20119924.739999998</v>
      </c>
      <c r="F26" s="40">
        <v>2831626.1</v>
      </c>
    </row>
    <row r="27" spans="1:6">
      <c r="A27" t="s">
        <v>128</v>
      </c>
      <c r="B27" t="s">
        <v>121</v>
      </c>
      <c r="C27" t="s">
        <v>93</v>
      </c>
      <c r="D27" s="24">
        <v>7217543</v>
      </c>
      <c r="E27" s="40">
        <v>20064769.539999999</v>
      </c>
      <c r="F27" s="40">
        <v>2823863.7</v>
      </c>
    </row>
    <row r="28" spans="1:6">
      <c r="A28" t="s">
        <v>129</v>
      </c>
      <c r="B28" t="s">
        <v>97</v>
      </c>
      <c r="C28" t="s">
        <v>93</v>
      </c>
      <c r="D28" s="24">
        <v>7211088</v>
      </c>
      <c r="E28" s="40">
        <v>20046824.640000001</v>
      </c>
      <c r="F28" s="40">
        <v>2821338.18</v>
      </c>
    </row>
    <row r="29" spans="1:6">
      <c r="A29" t="s">
        <v>130</v>
      </c>
      <c r="B29" t="s">
        <v>97</v>
      </c>
      <c r="C29" t="s">
        <v>93</v>
      </c>
      <c r="D29" s="24">
        <v>7114035</v>
      </c>
      <c r="E29" s="40">
        <v>19777017.300000001</v>
      </c>
      <c r="F29" s="40">
        <v>2783366.19</v>
      </c>
    </row>
    <row r="30" spans="1:6">
      <c r="A30" t="s">
        <v>131</v>
      </c>
      <c r="B30" t="s">
        <v>97</v>
      </c>
      <c r="C30" t="s">
        <v>93</v>
      </c>
      <c r="D30" s="24">
        <v>7112693</v>
      </c>
      <c r="E30" s="40">
        <v>19773286.539999999</v>
      </c>
      <c r="F30" s="40">
        <v>2782841.14</v>
      </c>
    </row>
    <row r="31" spans="1:6">
      <c r="A31" t="s">
        <v>132</v>
      </c>
      <c r="B31" t="s">
        <v>124</v>
      </c>
      <c r="C31" t="s">
        <v>125</v>
      </c>
      <c r="D31" s="24">
        <v>7092172</v>
      </c>
      <c r="E31" s="40">
        <v>19716238.16</v>
      </c>
      <c r="F31" s="40">
        <v>2774812.29</v>
      </c>
    </row>
    <row r="32" spans="1:6">
      <c r="A32" t="s">
        <v>133</v>
      </c>
      <c r="B32" t="s">
        <v>97</v>
      </c>
      <c r="C32" t="s">
        <v>93</v>
      </c>
      <c r="D32" s="24">
        <v>7077962</v>
      </c>
      <c r="E32" s="40">
        <v>19676734.359999999</v>
      </c>
      <c r="F32" s="40">
        <v>2769252.63</v>
      </c>
    </row>
    <row r="33" spans="1:6">
      <c r="A33" t="s">
        <v>134</v>
      </c>
      <c r="B33" t="s">
        <v>124</v>
      </c>
      <c r="C33" t="s">
        <v>125</v>
      </c>
      <c r="D33" s="24">
        <v>7064743</v>
      </c>
      <c r="E33" s="40">
        <v>19639985.539999999</v>
      </c>
      <c r="F33" s="40">
        <v>2764080.7</v>
      </c>
    </row>
    <row r="34" spans="1:6">
      <c r="A34" t="s">
        <v>135</v>
      </c>
      <c r="B34" t="s">
        <v>124</v>
      </c>
      <c r="C34" t="s">
        <v>125</v>
      </c>
      <c r="D34" s="24">
        <v>7057533</v>
      </c>
      <c r="E34" s="40">
        <v>19619941.739999998</v>
      </c>
      <c r="F34" s="40">
        <v>2761259.79</v>
      </c>
    </row>
    <row r="35" spans="1:6">
      <c r="A35" t="s">
        <v>136</v>
      </c>
      <c r="B35" t="s">
        <v>124</v>
      </c>
      <c r="C35" t="s">
        <v>125</v>
      </c>
      <c r="D35" s="24">
        <v>7036440</v>
      </c>
      <c r="E35" s="40">
        <v>19561303.199999999</v>
      </c>
      <c r="F35" s="40">
        <v>2753007.15</v>
      </c>
    </row>
    <row r="36" spans="1:6">
      <c r="A36" t="s">
        <v>137</v>
      </c>
      <c r="B36" t="s">
        <v>101</v>
      </c>
      <c r="C36" t="s">
        <v>102</v>
      </c>
      <c r="D36" s="24">
        <v>7005841</v>
      </c>
      <c r="E36" s="40">
        <v>19476237.98</v>
      </c>
      <c r="F36" s="40">
        <v>2741035.29</v>
      </c>
    </row>
    <row r="37" spans="1:6">
      <c r="A37" t="s">
        <v>138</v>
      </c>
      <c r="B37" t="s">
        <v>97</v>
      </c>
      <c r="C37" t="s">
        <v>93</v>
      </c>
      <c r="D37" s="24">
        <v>6985394</v>
      </c>
      <c r="E37" s="40">
        <v>19419395.32</v>
      </c>
      <c r="F37" s="40">
        <v>2733035.4</v>
      </c>
    </row>
    <row r="38" spans="1:6">
      <c r="A38" t="s">
        <v>139</v>
      </c>
      <c r="B38" t="s">
        <v>97</v>
      </c>
      <c r="C38" t="s">
        <v>93</v>
      </c>
      <c r="D38" s="24">
        <v>6980881</v>
      </c>
      <c r="E38" s="40">
        <v>19406849.18</v>
      </c>
      <c r="F38" s="40">
        <v>2731269.69</v>
      </c>
    </row>
    <row r="39" spans="1:6">
      <c r="A39" t="s">
        <v>140</v>
      </c>
      <c r="B39" t="s">
        <v>97</v>
      </c>
      <c r="C39" t="s">
        <v>93</v>
      </c>
      <c r="D39" s="24">
        <v>6972823</v>
      </c>
      <c r="E39" s="40">
        <v>19384447.940000001</v>
      </c>
      <c r="F39" s="40">
        <v>2728117</v>
      </c>
    </row>
    <row r="40" spans="1:6">
      <c r="A40" t="s">
        <v>141</v>
      </c>
      <c r="B40" t="s">
        <v>105</v>
      </c>
      <c r="C40" t="s">
        <v>106</v>
      </c>
      <c r="D40" s="24">
        <v>6939464</v>
      </c>
      <c r="E40" s="40">
        <v>19291709.920000002</v>
      </c>
      <c r="F40" s="40">
        <v>2715065.29</v>
      </c>
    </row>
    <row r="41" spans="1:6">
      <c r="A41" t="s">
        <v>142</v>
      </c>
      <c r="B41" t="s">
        <v>143</v>
      </c>
      <c r="C41" t="s">
        <v>106</v>
      </c>
      <c r="D41" s="24">
        <v>6931540</v>
      </c>
      <c r="E41" s="40">
        <v>19269681.199999999</v>
      </c>
      <c r="F41" s="40">
        <v>2711965.02</v>
      </c>
    </row>
    <row r="42" spans="1:6">
      <c r="A42" t="s">
        <v>144</v>
      </c>
      <c r="B42" t="s">
        <v>145</v>
      </c>
      <c r="C42" t="s">
        <v>102</v>
      </c>
      <c r="D42" s="24">
        <v>6910832</v>
      </c>
      <c r="E42" s="40">
        <v>19212112.960000001</v>
      </c>
      <c r="F42" s="40">
        <v>2703863.02</v>
      </c>
    </row>
    <row r="43" spans="1:6">
      <c r="A43" t="s">
        <v>146</v>
      </c>
      <c r="B43" t="s">
        <v>92</v>
      </c>
      <c r="C43" t="s">
        <v>93</v>
      </c>
      <c r="D43" s="24">
        <v>6891663</v>
      </c>
      <c r="E43" s="40">
        <v>19158823.140000001</v>
      </c>
      <c r="F43" s="40">
        <v>2696363.15</v>
      </c>
    </row>
    <row r="44" spans="1:6">
      <c r="A44" t="s">
        <v>147</v>
      </c>
      <c r="B44" t="s">
        <v>124</v>
      </c>
      <c r="C44" t="s">
        <v>125</v>
      </c>
      <c r="D44" s="24">
        <v>6880198</v>
      </c>
      <c r="E44" s="40">
        <v>19126950.440000001</v>
      </c>
      <c r="F44" s="40">
        <v>2691877.47</v>
      </c>
    </row>
    <row r="45" spans="1:6">
      <c r="A45" t="s">
        <v>148</v>
      </c>
      <c r="B45" t="s">
        <v>97</v>
      </c>
      <c r="C45" t="s">
        <v>93</v>
      </c>
      <c r="D45" s="24">
        <v>6804626</v>
      </c>
      <c r="E45" s="40">
        <v>18916860.280000001</v>
      </c>
      <c r="F45" s="40">
        <v>2662309.92</v>
      </c>
    </row>
    <row r="46" spans="1:6">
      <c r="A46" t="s">
        <v>149</v>
      </c>
      <c r="B46" t="s">
        <v>97</v>
      </c>
      <c r="C46" t="s">
        <v>93</v>
      </c>
      <c r="D46" s="24">
        <v>6802426</v>
      </c>
      <c r="E46" s="40">
        <v>18910744.280000001</v>
      </c>
      <c r="F46" s="40">
        <v>2661449.17</v>
      </c>
    </row>
    <row r="47" spans="1:6">
      <c r="A47" t="s">
        <v>150</v>
      </c>
      <c r="B47" t="s">
        <v>101</v>
      </c>
      <c r="C47" t="s">
        <v>93</v>
      </c>
      <c r="D47" s="24">
        <v>6760695</v>
      </c>
      <c r="E47" s="40">
        <v>18794732.100000001</v>
      </c>
      <c r="F47" s="40">
        <v>2645121.92</v>
      </c>
    </row>
    <row r="48" spans="1:6">
      <c r="A48" t="s">
        <v>151</v>
      </c>
      <c r="B48" t="s">
        <v>97</v>
      </c>
      <c r="C48" t="s">
        <v>93</v>
      </c>
      <c r="D48" s="24">
        <v>6758712</v>
      </c>
      <c r="E48" s="40">
        <v>18789219.359999999</v>
      </c>
      <c r="F48" s="40">
        <v>2644346.0699999998</v>
      </c>
    </row>
    <row r="49" spans="1:8">
      <c r="A49" t="s">
        <v>152</v>
      </c>
      <c r="B49" t="s">
        <v>121</v>
      </c>
      <c r="C49" t="s">
        <v>93</v>
      </c>
      <c r="D49" s="24">
        <v>6758703</v>
      </c>
      <c r="E49" s="40">
        <v>18789194.34</v>
      </c>
      <c r="F49" s="40">
        <v>2644342.5499999998</v>
      </c>
    </row>
    <row r="50" spans="1:8">
      <c r="A50" t="s">
        <v>153</v>
      </c>
      <c r="B50" t="s">
        <v>97</v>
      </c>
      <c r="C50" t="s">
        <v>93</v>
      </c>
      <c r="D50" s="24">
        <v>6757596</v>
      </c>
      <c r="E50" s="40">
        <v>18786116.879999999</v>
      </c>
      <c r="F50" s="40">
        <v>2643909.44</v>
      </c>
    </row>
    <row r="51" spans="1:8">
      <c r="A51" t="s">
        <v>154</v>
      </c>
      <c r="B51" t="s">
        <v>115</v>
      </c>
      <c r="C51" t="s">
        <v>93</v>
      </c>
      <c r="D51" s="24">
        <v>6750199</v>
      </c>
      <c r="E51" s="40">
        <v>18765553.219999999</v>
      </c>
      <c r="F51" s="40">
        <v>2641015.36</v>
      </c>
    </row>
    <row r="52" spans="1:8">
      <c r="A52" t="s">
        <v>155</v>
      </c>
      <c r="B52" t="s">
        <v>124</v>
      </c>
      <c r="C52" t="s">
        <v>125</v>
      </c>
      <c r="D52" s="24">
        <v>6725720</v>
      </c>
      <c r="E52" s="40">
        <v>18697501.600000001</v>
      </c>
      <c r="F52" s="40">
        <v>2631437.9500000002</v>
      </c>
    </row>
    <row r="54" spans="1:8">
      <c r="C54" s="41" t="s">
        <v>156</v>
      </c>
      <c r="D54" s="24">
        <f>AVERAGE(D3:D52)</f>
        <v>7604818.7999999998</v>
      </c>
    </row>
    <row r="55" spans="1:8">
      <c r="C55" s="41"/>
      <c r="D55" s="24"/>
    </row>
    <row r="56" spans="1:8">
      <c r="C56" s="41"/>
      <c r="D56" s="24"/>
    </row>
    <row r="57" spans="1:8">
      <c r="A57" s="42" t="s">
        <v>157</v>
      </c>
      <c r="B57" s="43"/>
      <c r="C57" s="44"/>
      <c r="D57" s="45"/>
      <c r="E57" s="43"/>
      <c r="F57" s="43"/>
      <c r="G57" s="43"/>
      <c r="H57" s="46"/>
    </row>
    <row r="58" spans="1:8">
      <c r="A58" s="47" t="s">
        <v>158</v>
      </c>
      <c r="B58" s="30"/>
      <c r="C58" s="30"/>
      <c r="D58" s="48">
        <f>'Total Fracking Leakage (2006)'!C54*1000</f>
        <v>40583000</v>
      </c>
      <c r="E58" s="49" t="s">
        <v>159</v>
      </c>
      <c r="F58" s="30"/>
      <c r="G58" s="30"/>
      <c r="H58" s="50"/>
    </row>
    <row r="59" spans="1:8">
      <c r="A59" s="51"/>
      <c r="B59" s="30"/>
      <c r="C59" s="30"/>
      <c r="D59" s="52">
        <f>D58/D54</f>
        <v>5.3364848088162207</v>
      </c>
      <c r="E59" s="49" t="s">
        <v>160</v>
      </c>
      <c r="F59" s="30"/>
      <c r="G59" s="30"/>
      <c r="H59" s="50"/>
    </row>
    <row r="60" spans="1:8">
      <c r="A60" s="51"/>
      <c r="B60" s="30"/>
      <c r="C60" s="30"/>
      <c r="D60" s="30"/>
      <c r="E60" s="30"/>
      <c r="F60" s="30"/>
      <c r="G60" s="30"/>
      <c r="H60" s="50"/>
    </row>
    <row r="61" spans="1:8">
      <c r="A61" s="51"/>
      <c r="B61" s="30"/>
      <c r="C61" s="30"/>
      <c r="D61" s="30">
        <f>'Emission Calculations'!D36/1000000</f>
        <v>5.789271962838341E-2</v>
      </c>
      <c r="E61" s="49" t="s">
        <v>161</v>
      </c>
      <c r="F61" s="30"/>
      <c r="G61" s="30"/>
      <c r="H61" s="50"/>
    </row>
    <row r="62" spans="1:8">
      <c r="A62" s="53"/>
      <c r="B62" s="54"/>
      <c r="C62" s="54"/>
      <c r="D62" s="54"/>
      <c r="E62" s="55"/>
      <c r="F62" s="54"/>
      <c r="G62" s="54"/>
      <c r="H62" s="56"/>
    </row>
    <row r="63" spans="1:8">
      <c r="A63" s="51"/>
      <c r="B63" s="30"/>
      <c r="C63" s="30"/>
      <c r="D63" s="30"/>
      <c r="E63" s="30"/>
      <c r="F63" s="30"/>
      <c r="G63" s="30"/>
      <c r="H63" s="50"/>
    </row>
    <row r="64" spans="1:8">
      <c r="A64" s="47" t="s">
        <v>162</v>
      </c>
      <c r="B64" s="30"/>
      <c r="C64" s="30"/>
      <c r="D64" s="48">
        <f>'Total Fracking Leakage (Maximum'!C54*1000</f>
        <v>10744000</v>
      </c>
      <c r="E64" s="49" t="s">
        <v>159</v>
      </c>
      <c r="F64" s="30"/>
      <c r="G64" s="30"/>
      <c r="H64" s="50"/>
    </row>
    <row r="65" spans="1:8">
      <c r="A65" s="51"/>
      <c r="B65" s="30"/>
      <c r="C65" s="30"/>
      <c r="D65" s="52">
        <f>D64/D54</f>
        <v>1.4127884283054843</v>
      </c>
      <c r="E65" s="49" t="s">
        <v>160</v>
      </c>
      <c r="F65" s="30"/>
      <c r="G65" s="30"/>
      <c r="H65" s="50"/>
    </row>
    <row r="66" spans="1:8">
      <c r="A66" s="51"/>
      <c r="B66" s="30"/>
      <c r="C66" s="30"/>
      <c r="D66" s="30"/>
      <c r="E66" s="30"/>
      <c r="F66" s="30"/>
      <c r="G66" s="30"/>
      <c r="H66" s="50"/>
    </row>
    <row r="67" spans="1:8">
      <c r="A67" s="51"/>
      <c r="B67" s="30"/>
      <c r="C67" s="30"/>
      <c r="D67" s="30">
        <f>'Emission Calculations (2)'!D36/1000000</f>
        <v>3.9422663427661812E-2</v>
      </c>
      <c r="E67" s="49" t="s">
        <v>163</v>
      </c>
      <c r="F67" s="30"/>
      <c r="G67" s="30"/>
      <c r="H67" s="50"/>
    </row>
    <row r="68" spans="1:8">
      <c r="A68" s="53"/>
      <c r="B68" s="54"/>
      <c r="C68" s="54"/>
      <c r="D68" s="54"/>
      <c r="E68" s="54"/>
      <c r="F68" s="54"/>
      <c r="G68" s="54"/>
      <c r="H68" s="56"/>
    </row>
    <row r="69" spans="1:8">
      <c r="A69" s="51"/>
      <c r="B69" s="30"/>
      <c r="C69" s="30"/>
      <c r="D69" s="30"/>
      <c r="E69" s="30"/>
      <c r="F69" s="30"/>
      <c r="G69" s="30"/>
      <c r="H69" s="50"/>
    </row>
    <row r="70" spans="1:8">
      <c r="A70" s="47" t="s">
        <v>164</v>
      </c>
      <c r="B70" s="30"/>
      <c r="C70" s="30"/>
      <c r="D70" s="48">
        <f>'Total Fracking Leakage (Average'!C54*1000</f>
        <v>25325666.666666657</v>
      </c>
      <c r="E70" s="49" t="s">
        <v>159</v>
      </c>
      <c r="F70" s="30"/>
      <c r="G70" s="30"/>
      <c r="H70" s="50"/>
    </row>
    <row r="71" spans="1:8">
      <c r="A71" s="51"/>
      <c r="B71" s="30"/>
      <c r="C71" s="30"/>
      <c r="D71" s="52">
        <f>D70/D54</f>
        <v>3.3302130310674407</v>
      </c>
      <c r="E71" s="49" t="s">
        <v>160</v>
      </c>
      <c r="F71" s="30"/>
      <c r="G71" s="30"/>
      <c r="H71" s="50"/>
    </row>
    <row r="72" spans="1:8">
      <c r="A72" s="51"/>
      <c r="B72" s="30"/>
      <c r="C72" s="30"/>
      <c r="D72" s="30"/>
      <c r="E72" s="30"/>
      <c r="F72" s="30"/>
      <c r="G72" s="30"/>
      <c r="H72" s="50"/>
    </row>
    <row r="73" spans="1:8">
      <c r="A73" s="51"/>
      <c r="B73" s="30"/>
      <c r="C73" s="30"/>
      <c r="D73" s="30">
        <f>'Emission Calculations (3)'!D36/1000000</f>
        <v>4.8657691528022608E-2</v>
      </c>
      <c r="E73" s="49" t="s">
        <v>165</v>
      </c>
      <c r="F73" s="30"/>
      <c r="G73" s="30"/>
      <c r="H73" s="50"/>
    </row>
    <row r="74" spans="1:8">
      <c r="A74" s="53"/>
      <c r="B74" s="54"/>
      <c r="C74" s="54"/>
      <c r="D74" s="54"/>
      <c r="E74" s="54"/>
      <c r="F74" s="54"/>
      <c r="G74" s="54"/>
      <c r="H74" s="56"/>
    </row>
    <row r="75" spans="1:8">
      <c r="A75" s="51"/>
      <c r="B75" s="30"/>
      <c r="C75" s="30"/>
      <c r="D75" s="30"/>
      <c r="E75" s="30"/>
      <c r="F75" s="30"/>
      <c r="G75" s="30"/>
      <c r="H75" s="50"/>
    </row>
    <row r="76" spans="1:8">
      <c r="A76" s="47" t="s">
        <v>166</v>
      </c>
      <c r="B76" s="30"/>
      <c r="C76" s="30"/>
      <c r="D76" s="48">
        <f>'Total Fracking Leakage (67%)'!C54*1000</f>
        <v>149327590</v>
      </c>
      <c r="E76" s="49" t="s">
        <v>159</v>
      </c>
      <c r="F76" s="30"/>
      <c r="G76" s="30"/>
      <c r="H76" s="50"/>
    </row>
    <row r="77" spans="1:8">
      <c r="A77" s="51"/>
      <c r="B77" s="30"/>
      <c r="C77" s="30"/>
      <c r="D77" s="52">
        <f>D76/D54</f>
        <v>19.635916900478943</v>
      </c>
      <c r="E77" s="49" t="s">
        <v>160</v>
      </c>
      <c r="F77" s="30"/>
      <c r="G77" s="30"/>
      <c r="H77" s="50"/>
    </row>
    <row r="78" spans="1:8">
      <c r="A78" s="51"/>
      <c r="B78" s="30"/>
      <c r="C78" s="30"/>
      <c r="D78" s="30"/>
      <c r="E78" s="30"/>
      <c r="F78" s="30"/>
      <c r="G78" s="30"/>
      <c r="H78" s="50"/>
    </row>
    <row r="79" spans="1:8">
      <c r="A79" s="53"/>
      <c r="B79" s="54"/>
      <c r="C79" s="54"/>
      <c r="D79" s="54">
        <f>'Emission Calculations (4)'!D36/1000000</f>
        <v>0.12253791633090902</v>
      </c>
      <c r="E79" s="55" t="s">
        <v>167</v>
      </c>
      <c r="F79" s="54"/>
      <c r="G79" s="54"/>
      <c r="H79" s="56"/>
    </row>
  </sheetData>
  <sheetProtection algorithmName="SHA-512" hashValue="zYQ49FPA62Ct/40uwjQUZJGOCIi95z11iOQys3vh3YE4ojCJKLS5NVX1rLu3NYDtB9QL5zqnAlsGAIieWx1X6g==" saltValue="Zlo1Wjm+rH2nLAj+oFr9AQ==" spinCount="100000" sheet="1" objects="1" scenarios="1"/>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81"/>
  <sheetViews>
    <sheetView workbookViewId="0">
      <selection activeCell="B7" sqref="B7"/>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6</v>
      </c>
      <c r="C7" s="67" t="s">
        <v>176</v>
      </c>
      <c r="D7" s="68">
        <f>B7*'Guidance and Sources'!D10*1000*'Guidance and Sources'!C62</f>
        <v>22240.2</v>
      </c>
      <c r="E7" s="64"/>
    </row>
    <row r="8" spans="1:5" ht="25.5">
      <c r="A8" s="69" t="s">
        <v>177</v>
      </c>
      <c r="B8" s="70"/>
      <c r="C8" s="70"/>
      <c r="D8" s="71"/>
      <c r="E8" s="64"/>
    </row>
    <row r="9" spans="1:5" ht="55.5" customHeight="1" thickBot="1">
      <c r="A9" s="215" t="s">
        <v>178</v>
      </c>
      <c r="B9" s="66">
        <v>6</v>
      </c>
      <c r="C9" s="67" t="s">
        <v>179</v>
      </c>
      <c r="D9" s="230">
        <f>B9*B10*(('Guidance and Sources'!D25*'Guidance and Sources'!C64)+'Guidance and Sources'!H25)</f>
        <v>5464.8843010824012</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Sources'!D9*1000*'Guidance and Sources'!C62</f>
        <v>0</v>
      </c>
      <c r="E12" s="64"/>
    </row>
    <row r="13" spans="1:5" ht="105" customHeight="1">
      <c r="A13" s="65" t="s">
        <v>184</v>
      </c>
      <c r="B13" s="66"/>
      <c r="C13" s="67" t="s">
        <v>185</v>
      </c>
      <c r="D13" s="76">
        <f>B13*'Guidance and Sources'!D11*1000*'Guidance and Sources'!C62</f>
        <v>0</v>
      </c>
      <c r="E13" s="64"/>
    </row>
    <row r="14" spans="1:5" ht="105" customHeight="1">
      <c r="A14" s="219" t="s">
        <v>186</v>
      </c>
      <c r="B14" s="66"/>
      <c r="C14" s="75" t="s">
        <v>187</v>
      </c>
      <c r="D14" s="225">
        <f>(B14*'Guidance and Sources'!D15*'Guidance and Sources'!C62)+(B15*'Guidance and Sources'!D16*'Guidance and Sources'!C62)</f>
        <v>0</v>
      </c>
      <c r="E14" s="64"/>
    </row>
    <row r="15" spans="1:5" ht="60" customHeight="1">
      <c r="A15" s="219"/>
      <c r="B15" s="66"/>
      <c r="C15" s="75" t="s">
        <v>188</v>
      </c>
      <c r="D15" s="225"/>
      <c r="E15" s="64"/>
    </row>
    <row r="16" spans="1:5" ht="90" customHeight="1">
      <c r="A16" s="224" t="s">
        <v>189</v>
      </c>
      <c r="B16" s="66"/>
      <c r="C16" s="75" t="s">
        <v>190</v>
      </c>
      <c r="D16" s="225">
        <f>B16*B17*'Guidance and Sources'!D17*'Guidance and Sources'!C62*365</f>
        <v>0</v>
      </c>
      <c r="E16" s="64"/>
    </row>
    <row r="17" spans="1:5" ht="60.75" customHeight="1" thickBot="1">
      <c r="A17" s="224"/>
      <c r="B17" s="77"/>
      <c r="C17" s="73" t="s">
        <v>180</v>
      </c>
      <c r="D17" s="225"/>
      <c r="E17" s="64"/>
    </row>
    <row r="18" spans="1:5" ht="90" customHeight="1">
      <c r="A18" s="219" t="s">
        <v>191</v>
      </c>
      <c r="B18" s="66"/>
      <c r="C18" s="75" t="s">
        <v>190</v>
      </c>
      <c r="D18" s="225">
        <f>B18*B19*'Guidance and Sources'!D22*1000*'Guidance and Sources'!C62</f>
        <v>0</v>
      </c>
      <c r="E18" s="64"/>
    </row>
    <row r="19" spans="1:5" ht="60.75" customHeight="1" thickBot="1">
      <c r="A19" s="219"/>
      <c r="B19" s="77"/>
      <c r="C19" s="73" t="s">
        <v>180</v>
      </c>
      <c r="D19" s="225"/>
      <c r="E19" s="64"/>
    </row>
    <row r="20" spans="1:5" ht="90" customHeight="1">
      <c r="A20" s="78" t="s">
        <v>192</v>
      </c>
      <c r="B20" s="79"/>
      <c r="C20" s="80" t="s">
        <v>193</v>
      </c>
      <c r="D20" s="81">
        <f>B20*1000*'Guidance and Sources'!D20</f>
        <v>0</v>
      </c>
      <c r="E20" s="64"/>
    </row>
    <row r="21" spans="1:5" ht="102" customHeight="1">
      <c r="A21" s="74" t="s">
        <v>194</v>
      </c>
      <c r="B21" s="226"/>
      <c r="C21" s="227" t="s">
        <v>195</v>
      </c>
      <c r="D21" s="68">
        <f>B21*('Guidance and Sources'!D7+'Guidance and Sources'!D8)*365*'Guidance and Sources'!C62</f>
        <v>0</v>
      </c>
      <c r="E21" s="64"/>
    </row>
    <row r="22" spans="1:5" ht="76.5" customHeight="1">
      <c r="A22" s="74" t="s">
        <v>196</v>
      </c>
      <c r="B22" s="226"/>
      <c r="C22" s="227"/>
      <c r="D22" s="68">
        <f>B21*'Guidance and Sources'!D23</f>
        <v>0</v>
      </c>
      <c r="E22" s="64"/>
    </row>
    <row r="23" spans="1:5" ht="75" customHeight="1">
      <c r="A23" s="219" t="s">
        <v>197</v>
      </c>
      <c r="B23" s="82"/>
      <c r="C23" s="75" t="s">
        <v>198</v>
      </c>
      <c r="D23" s="220">
        <f>B23*B24*25*1000*'Guidance and Sources'!C62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Sources'!D19+'Guidance and Sources'!H19)</f>
        <v>16867.615098873961</v>
      </c>
      <c r="E27" s="64"/>
    </row>
    <row r="28" spans="1:5" ht="75" customHeight="1">
      <c r="A28" s="221" t="s">
        <v>203</v>
      </c>
      <c r="B28" s="66">
        <v>5</v>
      </c>
      <c r="C28" s="75" t="s">
        <v>204</v>
      </c>
      <c r="D28" s="222">
        <f>(B28*(('Guidance and Sources'!D12*'Guidance and Sources'!C62)+('Guidance and Sources'!H12*'Guidance and Sources'!C63)))+(B29*(('Guidance and Sources'!D13*'Guidance and Sources'!C62)+('Guidance and Sources'!H13*'Guidance and Sources'!C63)))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Sources'!D26*'Guidance and Sources'!C64)+'Guidance and Sources'!H26)</f>
        <v>0</v>
      </c>
      <c r="E30" s="64"/>
    </row>
    <row r="31" spans="1:5" ht="60" customHeight="1">
      <c r="A31" s="221"/>
      <c r="B31" s="87"/>
      <c r="C31" s="88" t="s">
        <v>180</v>
      </c>
      <c r="D31" s="223"/>
      <c r="E31" s="64"/>
    </row>
    <row r="32" spans="1:5" ht="195" customHeight="1" thickBot="1">
      <c r="A32" s="215" t="s">
        <v>208</v>
      </c>
      <c r="B32" s="89">
        <v>10</v>
      </c>
      <c r="C32" s="90" t="s">
        <v>209</v>
      </c>
      <c r="D32" s="91">
        <f>B32*(('Guidance and Sources'!D27*'Guidance and Sources'!C62*1000000)+'Guidance and Sources'!H27)</f>
        <v>9461.3520000000008</v>
      </c>
      <c r="E32" s="92"/>
    </row>
    <row r="33" spans="1:7" ht="29.25" thickBot="1">
      <c r="A33" s="215"/>
      <c r="B33" s="93">
        <v>5</v>
      </c>
      <c r="C33" s="94" t="s">
        <v>210</v>
      </c>
      <c r="D33" s="216">
        <f>B33*B34*(('Guidance and Sources'!D28*'Guidance and Sources'!C62)+'Guidance and Sources'!H28)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57892.719628383413</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UBRCFtjBNinnWlNGpbpmEAHm6q9oTm5F7QkfjAkCGYwhLXGBmts8UyLsgtPTPXgoy/wQt69thgMILy6BZ3I5DA==" saltValue="iuRdARKNMhjtyBBiHvFrCQ=="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1"/>
  <sheetViews>
    <sheetView topLeftCell="A4" workbookViewId="0">
      <selection activeCell="B7" sqref="B7"/>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2</v>
      </c>
      <c r="C7" s="67" t="s">
        <v>176</v>
      </c>
      <c r="D7" s="68">
        <f>B7*'Guidance and Sources'!D10*1000*'Guidance and Sources'!C62</f>
        <v>7413.4000000000005</v>
      </c>
      <c r="E7" s="64"/>
    </row>
    <row r="8" spans="1:5" ht="25.5">
      <c r="A8" s="69" t="s">
        <v>177</v>
      </c>
      <c r="B8" s="70"/>
      <c r="C8" s="70"/>
      <c r="D8" s="71"/>
      <c r="E8" s="64"/>
    </row>
    <row r="9" spans="1:5" ht="55.5" customHeight="1" thickBot="1">
      <c r="A9" s="215" t="s">
        <v>178</v>
      </c>
      <c r="B9" s="66">
        <v>2</v>
      </c>
      <c r="C9" s="67" t="s">
        <v>179</v>
      </c>
      <c r="D9" s="230">
        <f>B9*B10*(('Guidance and Sources'!D25*'Guidance and Sources'!C64)+'Guidance and Sources'!H25)</f>
        <v>1821.6281003608001</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Sources'!D9*1000*'Guidance and Sources'!C62</f>
        <v>0</v>
      </c>
      <c r="E12" s="64"/>
    </row>
    <row r="13" spans="1:5" ht="105" customHeight="1">
      <c r="A13" s="65" t="s">
        <v>184</v>
      </c>
      <c r="B13" s="66"/>
      <c r="C13" s="67" t="s">
        <v>185</v>
      </c>
      <c r="D13" s="76">
        <f>B13*'Guidance and Sources'!D11*1000*'Guidance and Sources'!C62</f>
        <v>0</v>
      </c>
      <c r="E13" s="64"/>
    </row>
    <row r="14" spans="1:5" ht="105" customHeight="1">
      <c r="A14" s="219" t="s">
        <v>186</v>
      </c>
      <c r="B14" s="66"/>
      <c r="C14" s="75" t="s">
        <v>187</v>
      </c>
      <c r="D14" s="225">
        <f>(B14*'Guidance and Sources'!D15*'Guidance and Sources'!C62)+(B15*'Guidance and Sources'!D16*'Guidance and Sources'!C62)</f>
        <v>0</v>
      </c>
      <c r="E14" s="64"/>
    </row>
    <row r="15" spans="1:5" ht="60" customHeight="1">
      <c r="A15" s="219"/>
      <c r="B15" s="66"/>
      <c r="C15" s="75" t="s">
        <v>188</v>
      </c>
      <c r="D15" s="225"/>
      <c r="E15" s="64"/>
    </row>
    <row r="16" spans="1:5" ht="90" customHeight="1">
      <c r="A16" s="224" t="s">
        <v>189</v>
      </c>
      <c r="B16" s="66"/>
      <c r="C16" s="75" t="s">
        <v>190</v>
      </c>
      <c r="D16" s="225">
        <f>B16*B17*'Guidance and Sources'!D17*'Guidance and Sources'!C62*365</f>
        <v>0</v>
      </c>
      <c r="E16" s="64"/>
    </row>
    <row r="17" spans="1:5" ht="60.75" customHeight="1" thickBot="1">
      <c r="A17" s="224"/>
      <c r="B17" s="77"/>
      <c r="C17" s="73" t="s">
        <v>180</v>
      </c>
      <c r="D17" s="225"/>
      <c r="E17" s="64"/>
    </row>
    <row r="18" spans="1:5" ht="90" customHeight="1">
      <c r="A18" s="219" t="s">
        <v>191</v>
      </c>
      <c r="B18" s="66"/>
      <c r="C18" s="75" t="s">
        <v>190</v>
      </c>
      <c r="D18" s="225">
        <f>B18*B19*'Guidance and Sources'!D22*1000*'Guidance and Sources'!C62</f>
        <v>0</v>
      </c>
      <c r="E18" s="64"/>
    </row>
    <row r="19" spans="1:5" ht="60.75" customHeight="1" thickBot="1">
      <c r="A19" s="219"/>
      <c r="B19" s="77"/>
      <c r="C19" s="73" t="s">
        <v>180</v>
      </c>
      <c r="D19" s="225"/>
      <c r="E19" s="64"/>
    </row>
    <row r="20" spans="1:5" ht="90" customHeight="1">
      <c r="A20" s="78" t="s">
        <v>192</v>
      </c>
      <c r="B20" s="79"/>
      <c r="C20" s="80" t="s">
        <v>193</v>
      </c>
      <c r="D20" s="81">
        <f>B20*1000*'Guidance and Sources'!D20</f>
        <v>0</v>
      </c>
      <c r="E20" s="64"/>
    </row>
    <row r="21" spans="1:5" ht="102" customHeight="1">
      <c r="A21" s="74" t="s">
        <v>194</v>
      </c>
      <c r="B21" s="226"/>
      <c r="C21" s="227" t="s">
        <v>195</v>
      </c>
      <c r="D21" s="68">
        <f>B21*('Guidance and Sources'!D7+'Guidance and Sources'!D8)*365*'Guidance and Sources'!C62</f>
        <v>0</v>
      </c>
      <c r="E21" s="64"/>
    </row>
    <row r="22" spans="1:5" ht="76.5" customHeight="1">
      <c r="A22" s="74" t="s">
        <v>196</v>
      </c>
      <c r="B22" s="226"/>
      <c r="C22" s="227"/>
      <c r="D22" s="68">
        <f>B21*'Guidance and Sources'!D23</f>
        <v>0</v>
      </c>
      <c r="E22" s="64"/>
    </row>
    <row r="23" spans="1:5" ht="75" customHeight="1">
      <c r="A23" s="219" t="s">
        <v>197</v>
      </c>
      <c r="B23" s="82"/>
      <c r="C23" s="75" t="s">
        <v>198</v>
      </c>
      <c r="D23" s="220">
        <f>B23*B24*25*1000*'Guidance and Sources'!C62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Sources'!D19+'Guidance and Sources'!H19)</f>
        <v>16867.615098873961</v>
      </c>
      <c r="E27" s="64"/>
    </row>
    <row r="28" spans="1:5" ht="75" customHeight="1">
      <c r="A28" s="221" t="s">
        <v>203</v>
      </c>
      <c r="B28" s="66">
        <v>5</v>
      </c>
      <c r="C28" s="75" t="s">
        <v>204</v>
      </c>
      <c r="D28" s="222">
        <f>(B28*(('Guidance and Sources'!D12*'Guidance and Sources'!C62)+('Guidance and Sources'!H12*'Guidance and Sources'!C63)))+(B29*(('Guidance and Sources'!D13*'Guidance and Sources'!C62)+('Guidance and Sources'!H13*'Guidance and Sources'!C63)))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Sources'!D26*'Guidance and Sources'!C64)+'Guidance and Sources'!H26)</f>
        <v>0</v>
      </c>
      <c r="E30" s="64"/>
    </row>
    <row r="31" spans="1:5" ht="60" customHeight="1">
      <c r="A31" s="221"/>
      <c r="B31" s="87"/>
      <c r="C31" s="88" t="s">
        <v>180</v>
      </c>
      <c r="D31" s="223"/>
      <c r="E31" s="64"/>
    </row>
    <row r="32" spans="1:5" ht="195" customHeight="1" thickBot="1">
      <c r="A32" s="215" t="s">
        <v>208</v>
      </c>
      <c r="B32" s="89">
        <v>10</v>
      </c>
      <c r="C32" s="90" t="s">
        <v>209</v>
      </c>
      <c r="D32" s="91">
        <f>B32*(('Guidance and Sources'!D27*'Guidance and Sources'!C62*1000000)+'Guidance and Sources'!H27)</f>
        <v>9461.3520000000008</v>
      </c>
      <c r="E32" s="92"/>
    </row>
    <row r="33" spans="1:7" ht="29.25" thickBot="1">
      <c r="A33" s="215"/>
      <c r="B33" s="93">
        <v>5</v>
      </c>
      <c r="C33" s="94" t="s">
        <v>210</v>
      </c>
      <c r="D33" s="216">
        <f>B33*B34*(('Guidance and Sources'!D28*'Guidance and Sources'!C62)+'Guidance and Sources'!H28)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39422.663427661813</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OWHsXtwWqzdLmvT/DNy1CVK8D+lfRxmrlDnp12reknjjI4yKE+sbYJckpOUudy3A1yv9HRJkljN+RoVCHnO07A==" saltValue="iAiLYxp/cBDZjPjd7w8V0g=="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81"/>
  <sheetViews>
    <sheetView workbookViewId="0">
      <selection activeCell="B10" sqref="B10"/>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4</v>
      </c>
      <c r="C7" s="67" t="s">
        <v>176</v>
      </c>
      <c r="D7" s="68">
        <f>B7*'Guidance and Sources'!D10*1000*'Guidance and Sources'!C62</f>
        <v>14826.800000000001</v>
      </c>
      <c r="E7" s="64"/>
    </row>
    <row r="8" spans="1:5" ht="25.5">
      <c r="A8" s="69" t="s">
        <v>177</v>
      </c>
      <c r="B8" s="70"/>
      <c r="C8" s="70"/>
      <c r="D8" s="71"/>
      <c r="E8" s="64"/>
    </row>
    <row r="9" spans="1:5" ht="55.5" customHeight="1" thickBot="1">
      <c r="A9" s="215" t="s">
        <v>178</v>
      </c>
      <c r="B9" s="66">
        <v>4</v>
      </c>
      <c r="C9" s="67" t="s">
        <v>179</v>
      </c>
      <c r="D9" s="230">
        <f>B9*B10*(('Guidance and Sources'!D25*'Guidance and Sources'!C64)+'Guidance and Sources'!H25)</f>
        <v>3643.2562007216002</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Sources'!D9*1000*'Guidance and Sources'!C62</f>
        <v>0</v>
      </c>
      <c r="E12" s="64"/>
    </row>
    <row r="13" spans="1:5" ht="105" customHeight="1">
      <c r="A13" s="65" t="s">
        <v>184</v>
      </c>
      <c r="B13" s="66"/>
      <c r="C13" s="67" t="s">
        <v>185</v>
      </c>
      <c r="D13" s="76">
        <f>B13*'Guidance and Sources'!D11*1000*'Guidance and Sources'!C62</f>
        <v>0</v>
      </c>
      <c r="E13" s="64"/>
    </row>
    <row r="14" spans="1:5" ht="105" customHeight="1">
      <c r="A14" s="219" t="s">
        <v>186</v>
      </c>
      <c r="B14" s="66"/>
      <c r="C14" s="75" t="s">
        <v>187</v>
      </c>
      <c r="D14" s="225">
        <f>(B14*'Guidance and Sources'!D15*'Guidance and Sources'!C62)+(B15*'Guidance and Sources'!D16*'Guidance and Sources'!C62)</f>
        <v>0</v>
      </c>
      <c r="E14" s="64"/>
    </row>
    <row r="15" spans="1:5" ht="60" customHeight="1">
      <c r="A15" s="219"/>
      <c r="B15" s="66"/>
      <c r="C15" s="75" t="s">
        <v>188</v>
      </c>
      <c r="D15" s="225"/>
      <c r="E15" s="64"/>
    </row>
    <row r="16" spans="1:5" ht="90" customHeight="1">
      <c r="A16" s="224" t="s">
        <v>189</v>
      </c>
      <c r="B16" s="66"/>
      <c r="C16" s="75" t="s">
        <v>190</v>
      </c>
      <c r="D16" s="225">
        <f>B16*B17*'Guidance and Sources'!D17*'Guidance and Sources'!C62*365</f>
        <v>0</v>
      </c>
      <c r="E16" s="64"/>
    </row>
    <row r="17" spans="1:5" ht="60.75" customHeight="1" thickBot="1">
      <c r="A17" s="224"/>
      <c r="B17" s="77"/>
      <c r="C17" s="73" t="s">
        <v>180</v>
      </c>
      <c r="D17" s="225"/>
      <c r="E17" s="64"/>
    </row>
    <row r="18" spans="1:5" ht="90" customHeight="1">
      <c r="A18" s="219" t="s">
        <v>191</v>
      </c>
      <c r="B18" s="66"/>
      <c r="C18" s="75" t="s">
        <v>190</v>
      </c>
      <c r="D18" s="225">
        <f>B18*B19*'Guidance and Sources'!D22*1000*'Guidance and Sources'!C62</f>
        <v>0</v>
      </c>
      <c r="E18" s="64"/>
    </row>
    <row r="19" spans="1:5" ht="60.75" customHeight="1" thickBot="1">
      <c r="A19" s="219"/>
      <c r="B19" s="77"/>
      <c r="C19" s="73" t="s">
        <v>180</v>
      </c>
      <c r="D19" s="225"/>
      <c r="E19" s="64"/>
    </row>
    <row r="20" spans="1:5" ht="90" customHeight="1">
      <c r="A20" s="78" t="s">
        <v>192</v>
      </c>
      <c r="B20" s="79"/>
      <c r="C20" s="80" t="s">
        <v>193</v>
      </c>
      <c r="D20" s="81">
        <f>B20*1000*'Guidance and Sources'!D20</f>
        <v>0</v>
      </c>
      <c r="E20" s="64"/>
    </row>
    <row r="21" spans="1:5" ht="102" customHeight="1">
      <c r="A21" s="74" t="s">
        <v>194</v>
      </c>
      <c r="B21" s="226"/>
      <c r="C21" s="227" t="s">
        <v>195</v>
      </c>
      <c r="D21" s="68">
        <f>B21*('Guidance and Sources'!D7+'Guidance and Sources'!D8)*365*'Guidance and Sources'!C62</f>
        <v>0</v>
      </c>
      <c r="E21" s="64"/>
    </row>
    <row r="22" spans="1:5" ht="76.5" customHeight="1">
      <c r="A22" s="74" t="s">
        <v>196</v>
      </c>
      <c r="B22" s="226"/>
      <c r="C22" s="227"/>
      <c r="D22" s="68">
        <f>B21*'Guidance and Sources'!D23</f>
        <v>0</v>
      </c>
      <c r="E22" s="64"/>
    </row>
    <row r="23" spans="1:5" ht="75" customHeight="1">
      <c r="A23" s="219" t="s">
        <v>197</v>
      </c>
      <c r="B23" s="82"/>
      <c r="C23" s="75" t="s">
        <v>198</v>
      </c>
      <c r="D23" s="220">
        <f>B23*B24*25*1000*'Guidance and Sources'!C62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Sources'!D19+'Guidance and Sources'!H19)</f>
        <v>16867.615098873961</v>
      </c>
      <c r="E27" s="64"/>
    </row>
    <row r="28" spans="1:5" ht="75" customHeight="1">
      <c r="A28" s="221" t="s">
        <v>203</v>
      </c>
      <c r="B28" s="66">
        <v>5</v>
      </c>
      <c r="C28" s="75" t="s">
        <v>204</v>
      </c>
      <c r="D28" s="222">
        <f>(B28*(('Guidance and Sources'!D12*'Guidance and Sources'!C62)+('Guidance and Sources'!H12*'Guidance and Sources'!C63)))+(B29*(('Guidance and Sources'!D13*'Guidance and Sources'!C62)+('Guidance and Sources'!H13*'Guidance and Sources'!C63)))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Sources'!D26*'Guidance and Sources'!C64)+'Guidance and Sources'!H26)</f>
        <v>0</v>
      </c>
      <c r="E30" s="64"/>
    </row>
    <row r="31" spans="1:5" ht="60" customHeight="1">
      <c r="A31" s="221"/>
      <c r="B31" s="87"/>
      <c r="C31" s="88" t="s">
        <v>180</v>
      </c>
      <c r="D31" s="223"/>
      <c r="E31" s="64"/>
    </row>
    <row r="32" spans="1:5" ht="195" customHeight="1" thickBot="1">
      <c r="A32" s="215" t="s">
        <v>208</v>
      </c>
      <c r="B32" s="89">
        <v>10</v>
      </c>
      <c r="C32" s="90" t="s">
        <v>209</v>
      </c>
      <c r="D32" s="91">
        <f>B32*(('Guidance and Sources'!D27*'Guidance and Sources'!C62*1000000)+'Guidance and Sources'!H27)</f>
        <v>9461.3520000000008</v>
      </c>
      <c r="E32" s="92"/>
    </row>
    <row r="33" spans="1:7" ht="29.25" thickBot="1">
      <c r="A33" s="215"/>
      <c r="B33" s="93">
        <v>5</v>
      </c>
      <c r="C33" s="94" t="s">
        <v>210</v>
      </c>
      <c r="D33" s="216">
        <f>B33*B34*(('Guidance and Sources'!D28*'Guidance and Sources'!C62)+'Guidance and Sources'!H28)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48657.691528022609</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X0xUGHqD0KlYliJOJN671gE6WGT4COVy9uWT/m3cf97zJqnhQhiClFe8b147JdCzehn2LAZ5UtYJWNmySYZTRQ==" saltValue="DlRKWhdz5EIUWfQM0zDRog=="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1"/>
  <sheetViews>
    <sheetView workbookViewId="0">
      <selection activeCell="B10" sqref="B10"/>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20</v>
      </c>
      <c r="C7" s="67" t="s">
        <v>176</v>
      </c>
      <c r="D7" s="68">
        <f>B7*'Guidance and Sources'!D10*1000*'Guidance and Sources'!C62</f>
        <v>74134</v>
      </c>
      <c r="E7" s="64"/>
    </row>
    <row r="8" spans="1:5" ht="25.5">
      <c r="A8" s="69" t="s">
        <v>177</v>
      </c>
      <c r="B8" s="70"/>
      <c r="C8" s="70"/>
      <c r="D8" s="71"/>
      <c r="E8" s="64"/>
    </row>
    <row r="9" spans="1:5" ht="55.5" customHeight="1" thickBot="1">
      <c r="A9" s="215" t="s">
        <v>178</v>
      </c>
      <c r="B9" s="66">
        <v>20</v>
      </c>
      <c r="C9" s="67" t="s">
        <v>179</v>
      </c>
      <c r="D9" s="230">
        <f>B9*B10*(('Guidance and Sources'!D25*'Guidance and Sources'!C64)+'Guidance and Sources'!H25)</f>
        <v>18216.281003608001</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Sources'!D9*1000*'Guidance and Sources'!C62</f>
        <v>0</v>
      </c>
      <c r="E12" s="64"/>
    </row>
    <row r="13" spans="1:5" ht="105" customHeight="1">
      <c r="A13" s="65" t="s">
        <v>184</v>
      </c>
      <c r="B13" s="66"/>
      <c r="C13" s="67" t="s">
        <v>185</v>
      </c>
      <c r="D13" s="76">
        <f>B13*'Guidance and Sources'!D11*1000*'Guidance and Sources'!C62</f>
        <v>0</v>
      </c>
      <c r="E13" s="64"/>
    </row>
    <row r="14" spans="1:5" ht="105" customHeight="1">
      <c r="A14" s="219" t="s">
        <v>186</v>
      </c>
      <c r="B14" s="66"/>
      <c r="C14" s="75" t="s">
        <v>187</v>
      </c>
      <c r="D14" s="225">
        <f>(B14*'Guidance and Sources'!D15*'Guidance and Sources'!C62)+(B15*'Guidance and Sources'!D16*'Guidance and Sources'!C62)</f>
        <v>0</v>
      </c>
      <c r="E14" s="64"/>
    </row>
    <row r="15" spans="1:5" ht="60" customHeight="1">
      <c r="A15" s="219"/>
      <c r="B15" s="66"/>
      <c r="C15" s="75" t="s">
        <v>188</v>
      </c>
      <c r="D15" s="225"/>
      <c r="E15" s="64"/>
    </row>
    <row r="16" spans="1:5" ht="90" customHeight="1">
      <c r="A16" s="224" t="s">
        <v>189</v>
      </c>
      <c r="B16" s="66"/>
      <c r="C16" s="75" t="s">
        <v>190</v>
      </c>
      <c r="D16" s="225">
        <f>B16*B17*'Guidance and Sources'!D17*'Guidance and Sources'!C62*365</f>
        <v>0</v>
      </c>
      <c r="E16" s="64"/>
    </row>
    <row r="17" spans="1:5" ht="60.75" customHeight="1" thickBot="1">
      <c r="A17" s="224"/>
      <c r="B17" s="77"/>
      <c r="C17" s="73" t="s">
        <v>180</v>
      </c>
      <c r="D17" s="225"/>
      <c r="E17" s="64"/>
    </row>
    <row r="18" spans="1:5" ht="90" customHeight="1">
      <c r="A18" s="219" t="s">
        <v>191</v>
      </c>
      <c r="B18" s="66"/>
      <c r="C18" s="75" t="s">
        <v>190</v>
      </c>
      <c r="D18" s="225">
        <f>B18*B19*'Guidance and Sources'!D22*1000*'Guidance and Sources'!C62</f>
        <v>0</v>
      </c>
      <c r="E18" s="64"/>
    </row>
    <row r="19" spans="1:5" ht="60.75" customHeight="1" thickBot="1">
      <c r="A19" s="219"/>
      <c r="B19" s="77"/>
      <c r="C19" s="73" t="s">
        <v>180</v>
      </c>
      <c r="D19" s="225"/>
      <c r="E19" s="64"/>
    </row>
    <row r="20" spans="1:5" ht="90" customHeight="1">
      <c r="A20" s="78" t="s">
        <v>192</v>
      </c>
      <c r="B20" s="79"/>
      <c r="C20" s="80" t="s">
        <v>193</v>
      </c>
      <c r="D20" s="81">
        <f>B20*1000*'Guidance and Sources'!D20</f>
        <v>0</v>
      </c>
      <c r="E20" s="64"/>
    </row>
    <row r="21" spans="1:5" ht="102" customHeight="1">
      <c r="A21" s="74" t="s">
        <v>194</v>
      </c>
      <c r="B21" s="226"/>
      <c r="C21" s="227" t="s">
        <v>195</v>
      </c>
      <c r="D21" s="68">
        <f>B21*('Guidance and Sources'!D7+'Guidance and Sources'!D8)*365*'Guidance and Sources'!C62</f>
        <v>0</v>
      </c>
      <c r="E21" s="64"/>
    </row>
    <row r="22" spans="1:5" ht="76.5" customHeight="1">
      <c r="A22" s="74" t="s">
        <v>196</v>
      </c>
      <c r="B22" s="226"/>
      <c r="C22" s="227"/>
      <c r="D22" s="68">
        <f>B21*'Guidance and Sources'!D23</f>
        <v>0</v>
      </c>
      <c r="E22" s="64"/>
    </row>
    <row r="23" spans="1:5" ht="75" customHeight="1">
      <c r="A23" s="219" t="s">
        <v>197</v>
      </c>
      <c r="B23" s="82"/>
      <c r="C23" s="75" t="s">
        <v>198</v>
      </c>
      <c r="D23" s="220">
        <f>B23*B24*25*1000*'Guidance and Sources'!C62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Sources'!D19+'Guidance and Sources'!H19)</f>
        <v>16867.615098873961</v>
      </c>
      <c r="E27" s="64"/>
    </row>
    <row r="28" spans="1:5" ht="75" customHeight="1">
      <c r="A28" s="221" t="s">
        <v>203</v>
      </c>
      <c r="B28" s="66">
        <v>5</v>
      </c>
      <c r="C28" s="75" t="s">
        <v>204</v>
      </c>
      <c r="D28" s="222">
        <f>(B28*(('Guidance and Sources'!D12*'Guidance and Sources'!C62)+('Guidance and Sources'!H12*'Guidance and Sources'!C63)))+(B29*(('Guidance and Sources'!D13*'Guidance and Sources'!C62)+('Guidance and Sources'!H13*'Guidance and Sources'!C63)))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Sources'!D26*'Guidance and Sources'!C64)+'Guidance and Sources'!H26)</f>
        <v>0</v>
      </c>
      <c r="E30" s="64"/>
    </row>
    <row r="31" spans="1:5" ht="60" customHeight="1">
      <c r="A31" s="221"/>
      <c r="B31" s="87"/>
      <c r="C31" s="88" t="s">
        <v>180</v>
      </c>
      <c r="D31" s="223"/>
      <c r="E31" s="64"/>
    </row>
    <row r="32" spans="1:5" ht="195" customHeight="1" thickBot="1">
      <c r="A32" s="215" t="s">
        <v>208</v>
      </c>
      <c r="B32" s="89">
        <v>10</v>
      </c>
      <c r="C32" s="90" t="s">
        <v>209</v>
      </c>
      <c r="D32" s="91">
        <f>B32*(('Guidance and Sources'!D27*'Guidance and Sources'!C62*1000000)+'Guidance and Sources'!H27)</f>
        <v>9461.3520000000008</v>
      </c>
      <c r="E32" s="92"/>
    </row>
    <row r="33" spans="1:7" ht="29.25" thickBot="1">
      <c r="A33" s="215"/>
      <c r="B33" s="93">
        <v>5</v>
      </c>
      <c r="C33" s="94" t="s">
        <v>210</v>
      </c>
      <c r="D33" s="216">
        <f>B33*B34*(('Guidance and Sources'!D28*'Guidance and Sources'!C62)+'Guidance and Sources'!H28)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122537.91633090902</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JnbIBTShhlK21r1bHVy3IPWSBYBCpYUht2sfjkIESeAj1QoTk0I2Wz3cECDC6E1NFPH3o9HjR5yuhz5KS+++Yg==" saltValue="YKOniVp3iSgJ63BVBTLuyw=="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78"/>
  <sheetViews>
    <sheetView topLeftCell="A43" workbookViewId="0">
      <selection activeCell="C64" sqref="C64"/>
    </sheetView>
  </sheetViews>
  <sheetFormatPr defaultRowHeight="12.75" customHeight="1"/>
  <cols>
    <col min="1" max="1" width="44.875" style="120" customWidth="1"/>
    <col min="2" max="2" width="40.625" style="120" customWidth="1"/>
    <col min="3" max="3" width="34" style="120" customWidth="1"/>
    <col min="4" max="4" width="22.75" style="120" customWidth="1"/>
    <col min="5" max="5" width="20.75" style="120" customWidth="1"/>
    <col min="6" max="6" width="58.375" style="120" customWidth="1"/>
    <col min="7" max="7" width="50.75" style="208" customWidth="1"/>
    <col min="8" max="8" width="20.625" style="120" customWidth="1"/>
    <col min="9" max="9" width="16.25" style="120" customWidth="1"/>
    <col min="10" max="10" width="42.5" style="120" customWidth="1"/>
    <col min="11" max="11" width="50.75" style="120" customWidth="1"/>
    <col min="12" max="256" width="8.5" style="120" customWidth="1"/>
    <col min="257" max="257" width="44.875" style="120" customWidth="1"/>
    <col min="258" max="258" width="40.625" style="120" customWidth="1"/>
    <col min="259" max="259" width="34" style="120" customWidth="1"/>
    <col min="260" max="260" width="22.75" style="120" customWidth="1"/>
    <col min="261" max="261" width="20.75" style="120" customWidth="1"/>
    <col min="262" max="262" width="58.375" style="120" customWidth="1"/>
    <col min="263" max="263" width="50.75" style="120" customWidth="1"/>
    <col min="264" max="264" width="20.625" style="120" customWidth="1"/>
    <col min="265" max="265" width="16.25" style="120" customWidth="1"/>
    <col min="266" max="266" width="42.5" style="120" customWidth="1"/>
    <col min="267" max="267" width="50.75" style="120" customWidth="1"/>
    <col min="268" max="512" width="8.5" style="120" customWidth="1"/>
    <col min="513" max="513" width="44.875" style="120" customWidth="1"/>
    <col min="514" max="514" width="40.625" style="120" customWidth="1"/>
    <col min="515" max="515" width="34" style="120" customWidth="1"/>
    <col min="516" max="516" width="22.75" style="120" customWidth="1"/>
    <col min="517" max="517" width="20.75" style="120" customWidth="1"/>
    <col min="518" max="518" width="58.375" style="120" customWidth="1"/>
    <col min="519" max="519" width="50.75" style="120" customWidth="1"/>
    <col min="520" max="520" width="20.625" style="120" customWidth="1"/>
    <col min="521" max="521" width="16.25" style="120" customWidth="1"/>
    <col min="522" max="522" width="42.5" style="120" customWidth="1"/>
    <col min="523" max="523" width="50.75" style="120" customWidth="1"/>
    <col min="524" max="768" width="8.5" style="120" customWidth="1"/>
    <col min="769" max="769" width="44.875" style="120" customWidth="1"/>
    <col min="770" max="770" width="40.625" style="120" customWidth="1"/>
    <col min="771" max="771" width="34" style="120" customWidth="1"/>
    <col min="772" max="772" width="22.75" style="120" customWidth="1"/>
    <col min="773" max="773" width="20.75" style="120" customWidth="1"/>
    <col min="774" max="774" width="58.375" style="120" customWidth="1"/>
    <col min="775" max="775" width="50.75" style="120" customWidth="1"/>
    <col min="776" max="776" width="20.625" style="120" customWidth="1"/>
    <col min="777" max="777" width="16.25" style="120" customWidth="1"/>
    <col min="778" max="778" width="42.5" style="120" customWidth="1"/>
    <col min="779" max="779" width="50.75" style="120" customWidth="1"/>
    <col min="780" max="1024" width="8.5" style="120" customWidth="1"/>
  </cols>
  <sheetData>
    <row r="1" spans="1:28" ht="18">
      <c r="A1" s="117" t="s">
        <v>219</v>
      </c>
      <c r="B1" s="118"/>
      <c r="C1" s="118"/>
      <c r="D1" s="118"/>
      <c r="E1" s="118"/>
      <c r="F1" s="118"/>
      <c r="G1" s="119"/>
      <c r="H1" s="118"/>
      <c r="I1" s="118"/>
      <c r="J1" s="118"/>
      <c r="K1" s="118"/>
      <c r="L1" s="118"/>
    </row>
    <row r="2" spans="1:28" ht="18">
      <c r="A2" s="121">
        <v>40525</v>
      </c>
      <c r="B2" s="118"/>
      <c r="C2" s="118"/>
      <c r="D2" s="118"/>
      <c r="E2" s="118"/>
      <c r="F2" s="118"/>
      <c r="G2" s="119"/>
      <c r="H2" s="118"/>
      <c r="I2" s="118"/>
      <c r="J2" s="118"/>
      <c r="K2" s="118"/>
      <c r="L2" s="118"/>
    </row>
    <row r="3" spans="1:28" ht="18" customHeight="1">
      <c r="A3" s="232" t="s">
        <v>220</v>
      </c>
      <c r="B3" s="232"/>
      <c r="C3" s="232"/>
      <c r="D3" s="122"/>
      <c r="E3" s="118"/>
      <c r="F3" s="118"/>
      <c r="G3" s="123"/>
      <c r="H3" s="118"/>
      <c r="I3" s="118"/>
      <c r="J3" s="118"/>
      <c r="K3" s="118"/>
      <c r="L3" s="118"/>
    </row>
    <row r="4" spans="1:28" ht="18">
      <c r="A4" s="118"/>
      <c r="B4" s="118"/>
      <c r="C4" s="124"/>
      <c r="D4" s="124"/>
      <c r="E4" s="118"/>
      <c r="F4" s="118"/>
      <c r="G4" s="125"/>
      <c r="H4" s="118"/>
      <c r="I4" s="118"/>
      <c r="J4" s="118"/>
      <c r="K4" s="118"/>
      <c r="L4" s="118"/>
    </row>
    <row r="5" spans="1:28" ht="14.25">
      <c r="A5" s="118"/>
      <c r="B5" s="118"/>
      <c r="C5" s="118"/>
      <c r="D5" s="118"/>
      <c r="E5" s="126"/>
      <c r="F5" s="118"/>
      <c r="G5" s="119"/>
      <c r="H5" s="118"/>
      <c r="I5" s="118"/>
      <c r="J5" s="118"/>
      <c r="K5" s="118"/>
      <c r="L5" s="118"/>
    </row>
    <row r="6" spans="1:28" ht="63" customHeight="1">
      <c r="A6" s="127" t="s">
        <v>221</v>
      </c>
      <c r="B6" s="127" t="s">
        <v>222</v>
      </c>
      <c r="C6" s="127" t="s">
        <v>223</v>
      </c>
      <c r="D6" s="127" t="s">
        <v>224</v>
      </c>
      <c r="E6" s="127" t="s">
        <v>225</v>
      </c>
      <c r="F6" s="127" t="s">
        <v>226</v>
      </c>
      <c r="G6" s="127" t="s">
        <v>227</v>
      </c>
      <c r="H6" s="127" t="s">
        <v>228</v>
      </c>
      <c r="I6" s="127" t="s">
        <v>229</v>
      </c>
      <c r="J6" s="127" t="s">
        <v>230</v>
      </c>
      <c r="K6" s="128" t="s">
        <v>231</v>
      </c>
      <c r="L6" s="118"/>
      <c r="Q6" s="129"/>
      <c r="R6" s="129"/>
      <c r="S6" s="129"/>
      <c r="T6" s="129"/>
      <c r="U6" s="129"/>
      <c r="V6" s="129"/>
      <c r="W6" s="129"/>
      <c r="X6" s="129"/>
      <c r="Y6" s="129"/>
      <c r="Z6" s="129"/>
      <c r="AA6" s="129"/>
      <c r="AB6" s="129"/>
    </row>
    <row r="7" spans="1:28" ht="42.75">
      <c r="A7" s="130" t="s">
        <v>232</v>
      </c>
      <c r="B7" s="131" t="s">
        <v>233</v>
      </c>
      <c r="C7" s="132" t="s">
        <v>234</v>
      </c>
      <c r="D7" s="133">
        <f>345*(433257+395631)/(525000+455015)</f>
        <v>291.79794186823671</v>
      </c>
      <c r="E7" s="134" t="s">
        <v>235</v>
      </c>
      <c r="F7" s="135" t="s">
        <v>236</v>
      </c>
      <c r="G7" s="135" t="s">
        <v>237</v>
      </c>
      <c r="H7" s="136" t="s">
        <v>238</v>
      </c>
      <c r="I7" s="136" t="s">
        <v>238</v>
      </c>
      <c r="J7" s="136" t="s">
        <v>238</v>
      </c>
      <c r="K7" s="136" t="s">
        <v>238</v>
      </c>
      <c r="L7" s="118"/>
    </row>
    <row r="8" spans="1:28" ht="38.25">
      <c r="A8" s="130" t="s">
        <v>239</v>
      </c>
      <c r="B8" s="131" t="s">
        <v>233</v>
      </c>
      <c r="C8" s="132" t="s">
        <v>234</v>
      </c>
      <c r="D8" s="133">
        <f>248*(1579)/(525000+455015)</f>
        <v>0.39957755748636503</v>
      </c>
      <c r="E8" s="134" t="s">
        <v>240</v>
      </c>
      <c r="F8" s="135" t="s">
        <v>241</v>
      </c>
      <c r="G8" s="135" t="s">
        <v>242</v>
      </c>
      <c r="H8" s="136" t="s">
        <v>238</v>
      </c>
      <c r="I8" s="136" t="s">
        <v>238</v>
      </c>
      <c r="J8" s="136" t="s">
        <v>238</v>
      </c>
      <c r="K8" s="136" t="s">
        <v>238</v>
      </c>
      <c r="L8" s="118"/>
    </row>
    <row r="9" spans="1:28" ht="71.25">
      <c r="A9" s="130" t="s">
        <v>243</v>
      </c>
      <c r="B9" s="131" t="s">
        <v>183</v>
      </c>
      <c r="C9" s="132" t="s">
        <v>244</v>
      </c>
      <c r="D9" s="134">
        <v>573</v>
      </c>
      <c r="E9" s="134" t="s">
        <v>245</v>
      </c>
      <c r="F9" s="135" t="s">
        <v>246</v>
      </c>
      <c r="G9" s="135" t="s">
        <v>247</v>
      </c>
      <c r="H9" s="136" t="s">
        <v>238</v>
      </c>
      <c r="I9" s="136" t="s">
        <v>238</v>
      </c>
      <c r="J9" s="136" t="s">
        <v>238</v>
      </c>
      <c r="K9" s="136" t="s">
        <v>238</v>
      </c>
      <c r="L9" s="118"/>
    </row>
    <row r="10" spans="1:28" ht="53.25" customHeight="1">
      <c r="A10" s="137" t="s">
        <v>248</v>
      </c>
      <c r="B10" s="134" t="s">
        <v>249</v>
      </c>
      <c r="C10" s="132" t="s">
        <v>250</v>
      </c>
      <c r="D10" s="138">
        <v>9175</v>
      </c>
      <c r="E10" s="134" t="s">
        <v>251</v>
      </c>
      <c r="F10" s="135" t="s">
        <v>246</v>
      </c>
      <c r="G10" s="135" t="s">
        <v>252</v>
      </c>
      <c r="H10" s="136" t="s">
        <v>238</v>
      </c>
      <c r="I10" s="136" t="s">
        <v>238</v>
      </c>
      <c r="J10" s="136" t="s">
        <v>238</v>
      </c>
      <c r="K10" s="136" t="s">
        <v>238</v>
      </c>
      <c r="L10" s="118"/>
    </row>
    <row r="11" spans="1:28" ht="50.25" customHeight="1">
      <c r="A11" s="137" t="s">
        <v>253</v>
      </c>
      <c r="B11" s="134" t="s">
        <v>185</v>
      </c>
      <c r="C11" s="132" t="s">
        <v>254</v>
      </c>
      <c r="D11" s="138">
        <v>9175</v>
      </c>
      <c r="E11" s="134" t="s">
        <v>255</v>
      </c>
      <c r="F11" s="135" t="s">
        <v>246</v>
      </c>
      <c r="G11" s="135" t="s">
        <v>252</v>
      </c>
      <c r="H11" s="136" t="s">
        <v>238</v>
      </c>
      <c r="I11" s="136" t="s">
        <v>238</v>
      </c>
      <c r="J11" s="136" t="s">
        <v>238</v>
      </c>
      <c r="K11" s="136" t="s">
        <v>238</v>
      </c>
      <c r="L11" s="118"/>
    </row>
    <row r="12" spans="1:28" ht="51" customHeight="1">
      <c r="A12" s="237" t="s">
        <v>256</v>
      </c>
      <c r="B12" s="134" t="s">
        <v>257</v>
      </c>
      <c r="C12" s="134" t="s">
        <v>258</v>
      </c>
      <c r="D12" s="134">
        <v>733</v>
      </c>
      <c r="E12" s="139" t="s">
        <v>259</v>
      </c>
      <c r="F12" s="134" t="s">
        <v>260</v>
      </c>
      <c r="G12" s="134" t="s">
        <v>261</v>
      </c>
      <c r="H12" s="140">
        <f>D12*(0.98/0.02)</f>
        <v>35917</v>
      </c>
      <c r="I12" s="139" t="s">
        <v>262</v>
      </c>
      <c r="J12" s="134" t="s">
        <v>263</v>
      </c>
      <c r="K12" s="134" t="s">
        <v>264</v>
      </c>
      <c r="L12" s="118"/>
    </row>
    <row r="13" spans="1:28" ht="42.75">
      <c r="A13" s="237"/>
      <c r="B13" s="134" t="s">
        <v>265</v>
      </c>
      <c r="C13" s="134" t="s">
        <v>266</v>
      </c>
      <c r="D13" s="134">
        <v>20</v>
      </c>
      <c r="E13" s="132" t="s">
        <v>267</v>
      </c>
      <c r="F13" s="141" t="s">
        <v>268</v>
      </c>
      <c r="G13" s="134" t="s">
        <v>269</v>
      </c>
      <c r="H13" s="140">
        <f>D13*(0.98/0.02)</f>
        <v>980</v>
      </c>
      <c r="I13" s="132" t="s">
        <v>270</v>
      </c>
      <c r="J13" s="141" t="s">
        <v>271</v>
      </c>
      <c r="K13" s="134" t="s">
        <v>272</v>
      </c>
      <c r="L13" s="118"/>
    </row>
    <row r="14" spans="1:28" ht="51">
      <c r="A14" s="130" t="s">
        <v>273</v>
      </c>
      <c r="B14" s="142"/>
      <c r="C14" s="142"/>
      <c r="D14" s="142"/>
      <c r="E14" s="143"/>
      <c r="F14" s="142"/>
      <c r="G14" s="142"/>
      <c r="H14" s="143"/>
      <c r="I14" s="142"/>
      <c r="J14" s="142"/>
      <c r="K14" s="144"/>
      <c r="L14" s="118"/>
    </row>
    <row r="15" spans="1:28" ht="89.25">
      <c r="A15" s="145" t="s">
        <v>274</v>
      </c>
      <c r="B15" s="131" t="s">
        <v>187</v>
      </c>
      <c r="C15" s="131" t="s">
        <v>275</v>
      </c>
      <c r="D15" s="133">
        <v>5.28</v>
      </c>
      <c r="E15" s="132" t="s">
        <v>276</v>
      </c>
      <c r="F15" s="146" t="s">
        <v>277</v>
      </c>
      <c r="G15" s="134" t="s">
        <v>278</v>
      </c>
      <c r="H15" s="136" t="s">
        <v>238</v>
      </c>
      <c r="I15" s="136" t="s">
        <v>238</v>
      </c>
      <c r="J15" s="136" t="s">
        <v>238</v>
      </c>
      <c r="K15" s="136" t="s">
        <v>238</v>
      </c>
      <c r="L15" s="118"/>
    </row>
    <row r="16" spans="1:28" ht="28.5">
      <c r="A16" s="147" t="s">
        <v>279</v>
      </c>
      <c r="B16" s="131" t="s">
        <v>188</v>
      </c>
      <c r="C16" s="131" t="s">
        <v>280</v>
      </c>
      <c r="D16" s="134">
        <v>21.87</v>
      </c>
      <c r="E16" s="134" t="s">
        <v>281</v>
      </c>
      <c r="F16" s="148" t="s">
        <v>282</v>
      </c>
      <c r="G16" s="134" t="s">
        <v>283</v>
      </c>
      <c r="H16" s="136" t="s">
        <v>238</v>
      </c>
      <c r="I16" s="136" t="s">
        <v>238</v>
      </c>
      <c r="J16" s="136" t="s">
        <v>238</v>
      </c>
      <c r="K16" s="136" t="s">
        <v>238</v>
      </c>
      <c r="L16" s="118"/>
    </row>
    <row r="17" spans="1:12" ht="53.25" customHeight="1">
      <c r="A17" s="149" t="s">
        <v>284</v>
      </c>
      <c r="B17" s="131" t="s">
        <v>285</v>
      </c>
      <c r="C17" s="131" t="s">
        <v>286</v>
      </c>
      <c r="D17" s="138">
        <v>15205</v>
      </c>
      <c r="E17" s="134" t="s">
        <v>287</v>
      </c>
      <c r="F17" s="134" t="s">
        <v>288</v>
      </c>
      <c r="G17" s="134" t="s">
        <v>289</v>
      </c>
      <c r="H17" s="136" t="s">
        <v>238</v>
      </c>
      <c r="I17" s="136" t="s">
        <v>238</v>
      </c>
      <c r="J17" s="136" t="s">
        <v>238</v>
      </c>
      <c r="K17" s="136" t="s">
        <v>238</v>
      </c>
      <c r="L17" s="118"/>
    </row>
    <row r="18" spans="1:12" ht="66.75" customHeight="1">
      <c r="A18" s="137" t="s">
        <v>290</v>
      </c>
      <c r="B18" s="139" t="s">
        <v>291</v>
      </c>
      <c r="C18" s="139" t="s">
        <v>292</v>
      </c>
      <c r="D18" s="150" t="s">
        <v>238</v>
      </c>
      <c r="E18" s="150" t="s">
        <v>238</v>
      </c>
      <c r="F18" s="238" t="s">
        <v>293</v>
      </c>
      <c r="G18" s="238"/>
      <c r="H18" s="151" t="s">
        <v>238</v>
      </c>
      <c r="I18" s="151" t="s">
        <v>238</v>
      </c>
      <c r="J18" s="151" t="s">
        <v>238</v>
      </c>
      <c r="K18" s="151" t="s">
        <v>238</v>
      </c>
      <c r="L18" s="118"/>
    </row>
    <row r="19" spans="1:12" ht="321">
      <c r="A19" s="137" t="s">
        <v>294</v>
      </c>
      <c r="B19" s="139" t="s">
        <v>295</v>
      </c>
      <c r="C19" s="139" t="s">
        <v>296</v>
      </c>
      <c r="D19" s="152">
        <f>0.788*0.02*10^6*0.000404</f>
        <v>6.3670400000000003</v>
      </c>
      <c r="E19" s="153" t="s">
        <v>297</v>
      </c>
      <c r="F19" s="139" t="s">
        <v>298</v>
      </c>
      <c r="G19" s="139" t="s">
        <v>299</v>
      </c>
      <c r="H19" s="152">
        <f>54.71*(10^6/10^15)*1235*10^6</f>
        <v>67.566850000000002</v>
      </c>
      <c r="I19" s="153" t="s">
        <v>297</v>
      </c>
      <c r="J19" s="139" t="s">
        <v>300</v>
      </c>
      <c r="K19" s="139" t="s">
        <v>301</v>
      </c>
      <c r="L19" s="118"/>
    </row>
    <row r="20" spans="1:12" ht="66.75">
      <c r="A20" s="137" t="s">
        <v>302</v>
      </c>
      <c r="B20" s="131" t="s">
        <v>303</v>
      </c>
      <c r="C20" s="131" t="s">
        <v>304</v>
      </c>
      <c r="D20" s="154">
        <v>2.6670000000000001E-3</v>
      </c>
      <c r="E20" s="135" t="s">
        <v>305</v>
      </c>
      <c r="F20" s="137" t="s">
        <v>306</v>
      </c>
      <c r="G20" s="131" t="s">
        <v>307</v>
      </c>
      <c r="H20" s="136" t="s">
        <v>238</v>
      </c>
      <c r="I20" s="136" t="s">
        <v>238</v>
      </c>
      <c r="J20" s="136" t="s">
        <v>238</v>
      </c>
      <c r="K20" s="136" t="s">
        <v>238</v>
      </c>
      <c r="L20" s="118"/>
    </row>
    <row r="21" spans="1:12" ht="66.75" customHeight="1">
      <c r="A21" s="137" t="s">
        <v>308</v>
      </c>
      <c r="B21" s="139" t="s">
        <v>291</v>
      </c>
      <c r="C21" s="139" t="s">
        <v>292</v>
      </c>
      <c r="D21" s="150" t="s">
        <v>238</v>
      </c>
      <c r="E21" s="150" t="s">
        <v>238</v>
      </c>
      <c r="F21" s="238" t="s">
        <v>293</v>
      </c>
      <c r="G21" s="238"/>
      <c r="H21" s="151" t="s">
        <v>238</v>
      </c>
      <c r="I21" s="151" t="s">
        <v>238</v>
      </c>
      <c r="J21" s="151" t="s">
        <v>238</v>
      </c>
      <c r="K21" s="151" t="s">
        <v>238</v>
      </c>
      <c r="L21" s="118"/>
    </row>
    <row r="22" spans="1:12" s="155" customFormat="1" ht="185.25">
      <c r="A22" s="137" t="s">
        <v>309</v>
      </c>
      <c r="B22" s="134" t="s">
        <v>285</v>
      </c>
      <c r="C22" s="134" t="s">
        <v>286</v>
      </c>
      <c r="D22" s="140">
        <f>150/0.02832</f>
        <v>5296.6101694915251</v>
      </c>
      <c r="E22" s="139" t="s">
        <v>310</v>
      </c>
      <c r="F22" s="137" t="s">
        <v>311</v>
      </c>
      <c r="G22" s="134" t="s">
        <v>312</v>
      </c>
      <c r="H22" s="151" t="s">
        <v>238</v>
      </c>
      <c r="I22" s="151" t="s">
        <v>238</v>
      </c>
      <c r="J22" s="151" t="s">
        <v>238</v>
      </c>
      <c r="K22" s="151" t="s">
        <v>238</v>
      </c>
      <c r="L22" s="118"/>
    </row>
    <row r="23" spans="1:12" s="155" customFormat="1" ht="53.25" customHeight="1">
      <c r="A23" s="137" t="s">
        <v>313</v>
      </c>
      <c r="B23" s="134" t="s">
        <v>233</v>
      </c>
      <c r="C23" s="139" t="s">
        <v>314</v>
      </c>
      <c r="D23" s="152">
        <f>B52*10^9/(455015+525000)*$C$62</f>
        <v>5.3591016464033716</v>
      </c>
      <c r="E23" s="156" t="s">
        <v>315</v>
      </c>
      <c r="F23" s="132" t="s">
        <v>316</v>
      </c>
      <c r="G23" s="134" t="s">
        <v>317</v>
      </c>
      <c r="H23" s="151" t="s">
        <v>238</v>
      </c>
      <c r="I23" s="151" t="s">
        <v>238</v>
      </c>
      <c r="J23" s="151" t="s">
        <v>238</v>
      </c>
      <c r="K23" s="151" t="s">
        <v>238</v>
      </c>
      <c r="L23" s="118"/>
    </row>
    <row r="24" spans="1:12" s="155" customFormat="1" ht="114.75">
      <c r="A24" s="137" t="s">
        <v>318</v>
      </c>
      <c r="B24" s="142"/>
      <c r="C24" s="142"/>
      <c r="D24" s="157"/>
      <c r="E24" s="158"/>
      <c r="F24" s="142"/>
      <c r="G24" s="142"/>
      <c r="H24" s="142"/>
      <c r="I24" s="142"/>
      <c r="J24" s="142"/>
      <c r="K24" s="144"/>
      <c r="L24" s="118"/>
    </row>
    <row r="25" spans="1:12" ht="146.25">
      <c r="A25" s="159" t="s">
        <v>319</v>
      </c>
      <c r="B25" s="134" t="s">
        <v>320</v>
      </c>
      <c r="C25" s="134" t="s">
        <v>321</v>
      </c>
      <c r="D25" s="160">
        <f>H25*(0.02/0.98)</f>
        <v>13.143059887163062</v>
      </c>
      <c r="E25" s="132" t="s">
        <v>322</v>
      </c>
      <c r="F25" s="141" t="s">
        <v>323</v>
      </c>
      <c r="G25" s="134" t="s">
        <v>324</v>
      </c>
      <c r="H25" s="138">
        <f>(0.0781/10^6)*(1/0.293)*745.7*90*24*1500</f>
        <v>644.00993447098995</v>
      </c>
      <c r="I25" s="132" t="s">
        <v>325</v>
      </c>
      <c r="J25" s="141" t="s">
        <v>323</v>
      </c>
      <c r="K25" s="134" t="s">
        <v>326</v>
      </c>
      <c r="L25" s="118"/>
    </row>
    <row r="26" spans="1:12" ht="146.25">
      <c r="A26" s="159" t="s">
        <v>327</v>
      </c>
      <c r="B26" s="134" t="s">
        <v>320</v>
      </c>
      <c r="C26" s="134" t="s">
        <v>328</v>
      </c>
      <c r="D26" s="161">
        <f>H26*(0.02/0.98)</f>
        <v>13.143059887163062</v>
      </c>
      <c r="E26" s="132" t="s">
        <v>322</v>
      </c>
      <c r="F26" s="141" t="s">
        <v>323</v>
      </c>
      <c r="G26" s="134" t="s">
        <v>324</v>
      </c>
      <c r="H26" s="138">
        <f>(0.0781/10^6)*(1/0.293)*745.7*90*24*1500</f>
        <v>644.00993447098995</v>
      </c>
      <c r="I26" s="132" t="s">
        <v>325</v>
      </c>
      <c r="J26" s="141" t="s">
        <v>323</v>
      </c>
      <c r="K26" s="134" t="s">
        <v>326</v>
      </c>
      <c r="L26" s="118"/>
    </row>
    <row r="27" spans="1:12" ht="228.75">
      <c r="A27" s="239" t="s">
        <v>329</v>
      </c>
      <c r="B27" s="134" t="s">
        <v>330</v>
      </c>
      <c r="C27" s="134" t="s">
        <v>331</v>
      </c>
      <c r="D27" s="162">
        <v>0.24</v>
      </c>
      <c r="E27" s="132" t="s">
        <v>332</v>
      </c>
      <c r="F27" s="141" t="s">
        <v>333</v>
      </c>
      <c r="G27" s="134" t="s">
        <v>334</v>
      </c>
      <c r="H27" s="163">
        <f>0.0531*15992</f>
        <v>849.17520000000002</v>
      </c>
      <c r="I27" s="139" t="s">
        <v>335</v>
      </c>
      <c r="J27" s="141" t="s">
        <v>336</v>
      </c>
      <c r="K27" s="134" t="s">
        <v>337</v>
      </c>
      <c r="L27" s="118"/>
    </row>
    <row r="28" spans="1:12" ht="409.5">
      <c r="A28" s="239"/>
      <c r="B28" s="134" t="s">
        <v>338</v>
      </c>
      <c r="C28" s="134" t="s">
        <v>339</v>
      </c>
      <c r="D28" s="140">
        <f>D27*1000000*(52434/32233)</f>
        <v>390412.31036515371</v>
      </c>
      <c r="E28" s="132" t="s">
        <v>340</v>
      </c>
      <c r="F28" s="141" t="s">
        <v>341</v>
      </c>
      <c r="G28" s="134" t="s">
        <v>342</v>
      </c>
      <c r="H28" s="138">
        <f>H27*(52434/32233)</f>
        <v>1381.3685489032978</v>
      </c>
      <c r="I28" s="132" t="s">
        <v>343</v>
      </c>
      <c r="J28" s="141" t="s">
        <v>344</v>
      </c>
      <c r="K28" s="132" t="s">
        <v>342</v>
      </c>
      <c r="L28" s="118"/>
    </row>
    <row r="29" spans="1:12" ht="15.75" customHeight="1">
      <c r="A29" s="240" t="s">
        <v>213</v>
      </c>
      <c r="B29" s="240"/>
      <c r="C29" s="240"/>
      <c r="D29" s="164"/>
      <c r="E29" s="165"/>
      <c r="F29" s="166"/>
      <c r="G29" s="167"/>
      <c r="H29" s="164"/>
      <c r="I29" s="119"/>
      <c r="J29" s="119"/>
      <c r="K29" s="119"/>
      <c r="L29" s="118"/>
    </row>
    <row r="30" spans="1:12" ht="14.25">
      <c r="A30" s="241" t="s">
        <v>345</v>
      </c>
      <c r="B30" s="241"/>
      <c r="C30" s="241"/>
      <c r="D30" s="168"/>
      <c r="E30" s="169"/>
      <c r="F30" s="170"/>
      <c r="G30" s="171"/>
      <c r="H30" s="168"/>
      <c r="I30" s="119"/>
      <c r="J30" s="119"/>
      <c r="K30" s="119"/>
      <c r="L30" s="118"/>
    </row>
    <row r="31" spans="1:12" ht="29.25" customHeight="1">
      <c r="A31" s="237" t="s">
        <v>346</v>
      </c>
      <c r="B31" s="237"/>
      <c r="C31" s="237"/>
      <c r="D31" s="168"/>
      <c r="E31" s="169"/>
      <c r="F31" s="170"/>
      <c r="G31" s="171"/>
      <c r="H31" s="168"/>
      <c r="I31" s="119"/>
      <c r="J31" s="119"/>
      <c r="K31" s="119"/>
      <c r="L31" s="118"/>
    </row>
    <row r="32" spans="1:12" ht="44.25" customHeight="1">
      <c r="A32" s="237" t="s">
        <v>347</v>
      </c>
      <c r="B32" s="237"/>
      <c r="C32" s="237"/>
      <c r="D32" s="168"/>
      <c r="E32" s="169"/>
      <c r="F32" s="170"/>
      <c r="G32" s="171"/>
      <c r="H32" s="168"/>
      <c r="I32" s="119"/>
      <c r="J32" s="119"/>
      <c r="K32" s="119"/>
      <c r="L32" s="118"/>
    </row>
    <row r="33" spans="1:12" ht="14.25">
      <c r="A33" s="237" t="s">
        <v>348</v>
      </c>
      <c r="B33" s="237"/>
      <c r="C33" s="237"/>
      <c r="D33" s="118"/>
      <c r="E33" s="169"/>
      <c r="F33" s="170"/>
      <c r="G33" s="171"/>
      <c r="H33" s="168"/>
      <c r="I33" s="119"/>
      <c r="J33" s="119"/>
      <c r="K33" s="119"/>
      <c r="L33" s="118"/>
    </row>
    <row r="34" spans="1:12" ht="43.5" customHeight="1">
      <c r="A34" s="242" t="s">
        <v>349</v>
      </c>
      <c r="B34" s="242"/>
      <c r="C34" s="242"/>
      <c r="D34" s="119" t="s">
        <v>350</v>
      </c>
      <c r="E34" s="169"/>
      <c r="F34" s="170"/>
      <c r="G34" s="171"/>
      <c r="H34" s="168"/>
      <c r="I34" s="119"/>
      <c r="J34" s="119"/>
      <c r="K34" s="119"/>
      <c r="L34" s="118"/>
    </row>
    <row r="35" spans="1:12" ht="12.75" customHeight="1">
      <c r="A35" s="236" t="s">
        <v>351</v>
      </c>
      <c r="B35" s="236"/>
      <c r="C35" s="236"/>
      <c r="D35" s="119"/>
      <c r="E35" s="169"/>
      <c r="F35" s="170"/>
      <c r="G35" s="171"/>
      <c r="H35" s="168"/>
      <c r="I35" s="119"/>
      <c r="J35" s="119"/>
      <c r="K35" s="119"/>
      <c r="L35" s="118"/>
    </row>
    <row r="36" spans="1:12" ht="14.25">
      <c r="A36" s="118"/>
      <c r="B36" s="118"/>
      <c r="C36" s="172"/>
      <c r="D36" s="172"/>
      <c r="E36" s="118"/>
      <c r="F36" s="118"/>
      <c r="G36" s="171"/>
      <c r="H36" s="168"/>
      <c r="I36" s="119"/>
      <c r="J36" s="119"/>
      <c r="K36" s="119"/>
      <c r="L36" s="118"/>
    </row>
    <row r="37" spans="1:12" ht="14.25">
      <c r="A37" s="118"/>
      <c r="B37" s="118"/>
      <c r="C37" s="118"/>
      <c r="D37" s="118"/>
      <c r="E37" s="118"/>
      <c r="F37" s="118"/>
      <c r="G37" s="119"/>
      <c r="H37" s="118"/>
      <c r="I37" s="118"/>
      <c r="J37" s="118"/>
      <c r="K37" s="118"/>
      <c r="L37" s="118"/>
    </row>
    <row r="38" spans="1:12" ht="14.25">
      <c r="A38" s="118"/>
      <c r="B38" s="118"/>
      <c r="C38" s="118"/>
      <c r="D38" s="118"/>
      <c r="E38" s="118"/>
      <c r="F38" s="118"/>
      <c r="G38" s="119"/>
      <c r="H38" s="118"/>
      <c r="I38" s="118"/>
      <c r="J38" s="118"/>
      <c r="K38" s="118"/>
      <c r="L38" s="118"/>
    </row>
    <row r="39" spans="1:12" ht="14.25">
      <c r="A39" s="173" t="s">
        <v>352</v>
      </c>
      <c r="B39" s="174"/>
      <c r="C39" s="118"/>
      <c r="D39" s="118"/>
      <c r="E39" s="118"/>
      <c r="F39" s="118"/>
      <c r="G39" s="119"/>
      <c r="H39" s="118"/>
      <c r="I39" s="118"/>
      <c r="J39" s="118"/>
      <c r="K39" s="118"/>
      <c r="L39" s="118"/>
    </row>
    <row r="40" spans="1:12" ht="15">
      <c r="A40" s="175" t="s">
        <v>353</v>
      </c>
      <c r="B40" s="175"/>
      <c r="C40" s="118"/>
      <c r="D40" s="118"/>
      <c r="E40" s="118"/>
      <c r="F40" s="118"/>
      <c r="G40" s="119"/>
      <c r="H40" s="118"/>
      <c r="I40" s="118"/>
      <c r="J40" s="118"/>
      <c r="K40" s="118"/>
      <c r="L40" s="118"/>
    </row>
    <row r="41" spans="1:12" ht="29.25" customHeight="1">
      <c r="A41" s="232" t="s">
        <v>354</v>
      </c>
      <c r="B41" s="232"/>
      <c r="C41" s="122"/>
      <c r="D41" s="118"/>
      <c r="E41" s="118"/>
      <c r="F41" s="118"/>
      <c r="G41" s="119"/>
      <c r="H41" s="118"/>
      <c r="I41" s="118"/>
      <c r="J41" s="118"/>
      <c r="K41" s="118"/>
      <c r="L41" s="118"/>
    </row>
    <row r="42" spans="1:12" ht="29.25" customHeight="1">
      <c r="A42" s="232" t="s">
        <v>246</v>
      </c>
      <c r="B42" s="232"/>
      <c r="C42" s="122"/>
      <c r="D42" s="118"/>
      <c r="E42" s="118"/>
      <c r="F42" s="118"/>
      <c r="G42" s="119"/>
      <c r="H42" s="118"/>
      <c r="I42" s="118"/>
      <c r="J42" s="118"/>
      <c r="K42" s="118"/>
      <c r="L42" s="118"/>
    </row>
    <row r="43" spans="1:12" ht="14.25">
      <c r="A43" s="118"/>
      <c r="B43" s="118"/>
      <c r="C43" s="118"/>
      <c r="D43" s="118"/>
      <c r="E43" s="118"/>
      <c r="F43" s="118"/>
      <c r="G43" s="119"/>
      <c r="H43" s="118"/>
      <c r="I43" s="118"/>
      <c r="J43" s="118"/>
      <c r="K43" s="118"/>
      <c r="L43" s="118"/>
    </row>
    <row r="44" spans="1:12" ht="42.75" customHeight="1">
      <c r="A44" s="176" t="s">
        <v>353</v>
      </c>
      <c r="B44" s="177" t="s">
        <v>355</v>
      </c>
      <c r="C44" s="178"/>
      <c r="D44" s="179"/>
      <c r="E44" s="179"/>
      <c r="F44" s="118"/>
      <c r="G44" s="119"/>
      <c r="H44" s="180"/>
      <c r="I44" s="181"/>
      <c r="J44" s="182"/>
      <c r="K44" s="183"/>
      <c r="L44" s="118"/>
    </row>
    <row r="45" spans="1:12" ht="14.25">
      <c r="A45" s="131" t="s">
        <v>356</v>
      </c>
      <c r="B45" s="184">
        <v>141</v>
      </c>
      <c r="C45" s="185"/>
      <c r="D45" s="182"/>
      <c r="E45" s="183"/>
      <c r="F45" s="118"/>
      <c r="G45" s="119"/>
      <c r="H45" s="180"/>
      <c r="I45" s="181"/>
      <c r="J45" s="182"/>
      <c r="K45" s="183"/>
      <c r="L45" s="118"/>
    </row>
    <row r="46" spans="1:12" ht="14.25">
      <c r="A46" s="131" t="s">
        <v>357</v>
      </c>
      <c r="B46" s="184">
        <v>80</v>
      </c>
      <c r="C46" s="185"/>
      <c r="D46" s="182"/>
      <c r="E46" s="183"/>
      <c r="F46" s="118"/>
      <c r="G46" s="119"/>
      <c r="H46" s="180"/>
      <c r="I46" s="181"/>
      <c r="J46" s="182"/>
      <c r="K46" s="183"/>
      <c r="L46" s="118"/>
    </row>
    <row r="47" spans="1:12" ht="14.25">
      <c r="A47" s="131" t="s">
        <v>358</v>
      </c>
      <c r="B47" s="184">
        <v>77</v>
      </c>
      <c r="C47" s="185"/>
      <c r="D47" s="182"/>
      <c r="E47" s="183"/>
      <c r="F47" s="118"/>
      <c r="G47" s="119"/>
      <c r="H47" s="180"/>
      <c r="I47" s="181"/>
      <c r="J47" s="182"/>
      <c r="K47" s="183"/>
      <c r="L47" s="118"/>
    </row>
    <row r="48" spans="1:12" ht="14.25">
      <c r="A48" s="131" t="s">
        <v>359</v>
      </c>
      <c r="B48" s="184">
        <v>27</v>
      </c>
      <c r="C48" s="185"/>
      <c r="D48" s="182"/>
      <c r="E48" s="186"/>
      <c r="F48" s="118"/>
      <c r="G48" s="119"/>
      <c r="H48" s="180"/>
      <c r="I48" s="181"/>
      <c r="J48" s="182"/>
      <c r="K48" s="183"/>
      <c r="L48" s="118"/>
    </row>
    <row r="49" spans="1:12" ht="14.25">
      <c r="A49" s="131" t="s">
        <v>360</v>
      </c>
      <c r="B49" s="184">
        <v>11</v>
      </c>
      <c r="C49" s="185"/>
      <c r="D49" s="182"/>
      <c r="E49" s="186"/>
      <c r="F49" s="118"/>
      <c r="G49" s="119"/>
      <c r="H49" s="180"/>
      <c r="I49" s="181"/>
      <c r="J49" s="182"/>
      <c r="K49" s="183"/>
      <c r="L49" s="118"/>
    </row>
    <row r="50" spans="1:12" ht="14.25">
      <c r="A50" s="131" t="s">
        <v>361</v>
      </c>
      <c r="B50" s="184">
        <v>7</v>
      </c>
      <c r="C50" s="185"/>
      <c r="D50" s="182"/>
      <c r="E50" s="186"/>
      <c r="F50" s="118"/>
      <c r="G50" s="119"/>
      <c r="H50" s="180"/>
      <c r="I50" s="181"/>
      <c r="J50" s="182"/>
      <c r="K50" s="183"/>
      <c r="L50" s="118"/>
    </row>
    <row r="51" spans="1:12" ht="14.25">
      <c r="A51" s="131" t="s">
        <v>362</v>
      </c>
      <c r="B51" s="184">
        <v>7</v>
      </c>
      <c r="C51" s="185"/>
      <c r="D51" s="182"/>
      <c r="E51" s="183"/>
      <c r="F51" s="118"/>
      <c r="G51" s="119"/>
      <c r="H51" s="180"/>
      <c r="I51" s="181"/>
      <c r="J51" s="182"/>
      <c r="K51" s="183"/>
      <c r="L51" s="118"/>
    </row>
    <row r="52" spans="1:12" ht="14.25">
      <c r="A52" s="131" t="s">
        <v>363</v>
      </c>
      <c r="B52" s="184">
        <v>13</v>
      </c>
      <c r="C52" s="185"/>
      <c r="D52" s="182"/>
      <c r="E52" s="183"/>
      <c r="F52" s="118"/>
      <c r="G52" s="119"/>
      <c r="H52" s="180"/>
      <c r="I52" s="181"/>
      <c r="J52" s="182"/>
      <c r="K52" s="183"/>
      <c r="L52" s="118"/>
    </row>
    <row r="53" spans="1:12" ht="14.25">
      <c r="A53" s="131" t="s">
        <v>364</v>
      </c>
      <c r="B53" s="184">
        <v>24</v>
      </c>
      <c r="C53" s="185"/>
      <c r="D53" s="182"/>
      <c r="E53" s="187"/>
      <c r="F53" s="118"/>
      <c r="G53" s="119"/>
      <c r="H53" s="180"/>
      <c r="I53" s="181"/>
      <c r="J53" s="182"/>
      <c r="K53" s="183"/>
      <c r="L53" s="118"/>
    </row>
    <row r="54" spans="1:12" ht="14.25">
      <c r="A54" s="188" t="s">
        <v>365</v>
      </c>
      <c r="B54" s="189">
        <f>SUM(B45:B53)</f>
        <v>387</v>
      </c>
      <c r="C54" s="185"/>
      <c r="D54" s="190"/>
      <c r="E54" s="118"/>
      <c r="F54" s="118"/>
      <c r="G54" s="119"/>
      <c r="H54" s="180"/>
      <c r="I54" s="181"/>
      <c r="J54" s="182"/>
      <c r="K54" s="183"/>
      <c r="L54" s="118"/>
    </row>
    <row r="55" spans="1:12" ht="14.25">
      <c r="A55" s="191" t="s">
        <v>366</v>
      </c>
      <c r="B55" s="192">
        <f>B54-B53</f>
        <v>363</v>
      </c>
      <c r="C55" s="185"/>
      <c r="D55" s="193"/>
      <c r="E55" s="118"/>
      <c r="F55" s="118"/>
      <c r="G55" s="119"/>
      <c r="H55" s="180"/>
      <c r="I55" s="181"/>
      <c r="J55" s="182"/>
      <c r="K55" s="183"/>
      <c r="L55" s="118"/>
    </row>
    <row r="56" spans="1:12" ht="25.5" customHeight="1">
      <c r="A56" s="233" t="s">
        <v>367</v>
      </c>
      <c r="B56" s="233"/>
      <c r="C56" s="194"/>
      <c r="D56" s="183"/>
      <c r="E56" s="118"/>
      <c r="F56" s="118"/>
      <c r="G56" s="119"/>
      <c r="H56" s="180"/>
      <c r="I56" s="181"/>
      <c r="J56" s="182"/>
      <c r="K56" s="183"/>
      <c r="L56" s="118"/>
    </row>
    <row r="57" spans="1:12" ht="14.25">
      <c r="A57" s="118"/>
      <c r="B57" s="118"/>
      <c r="C57" s="118"/>
      <c r="D57" s="118"/>
      <c r="E57" s="118"/>
      <c r="F57" s="118"/>
      <c r="G57" s="119"/>
      <c r="H57" s="180"/>
      <c r="I57" s="181"/>
      <c r="J57" s="182"/>
      <c r="K57" s="183"/>
      <c r="L57" s="118"/>
    </row>
    <row r="58" spans="1:12" ht="14.25">
      <c r="A58" s="118"/>
      <c r="B58" s="118"/>
      <c r="C58" s="118"/>
      <c r="D58" s="118"/>
      <c r="E58" s="118"/>
      <c r="F58" s="118"/>
      <c r="G58" s="119"/>
      <c r="H58" s="180"/>
      <c r="I58" s="181"/>
      <c r="J58" s="182"/>
      <c r="K58" s="183"/>
      <c r="L58" s="118"/>
    </row>
    <row r="59" spans="1:12" ht="14.25">
      <c r="A59" s="118"/>
      <c r="B59" s="118"/>
      <c r="C59" s="118"/>
      <c r="D59" s="186"/>
      <c r="E59" s="195"/>
      <c r="G59" s="119"/>
      <c r="H59" s="187"/>
      <c r="I59" s="195"/>
      <c r="J59" s="195"/>
      <c r="K59" s="196"/>
      <c r="L59" s="118"/>
    </row>
    <row r="60" spans="1:12" ht="20.25">
      <c r="A60" s="197" t="s">
        <v>368</v>
      </c>
      <c r="B60" s="198"/>
      <c r="C60" s="199"/>
      <c r="D60" s="186"/>
      <c r="E60" s="195"/>
      <c r="F60" s="118"/>
      <c r="G60" s="119"/>
      <c r="H60" s="118"/>
      <c r="I60" s="118"/>
      <c r="J60" s="118"/>
      <c r="K60" s="118"/>
      <c r="L60" s="118"/>
    </row>
    <row r="61" spans="1:12" ht="14.25">
      <c r="A61" s="200" t="s">
        <v>369</v>
      </c>
      <c r="B61" s="200" t="s">
        <v>370</v>
      </c>
      <c r="C61" s="200" t="s">
        <v>371</v>
      </c>
      <c r="D61" s="201"/>
      <c r="E61" s="118"/>
      <c r="F61" s="118"/>
      <c r="G61" s="119"/>
      <c r="H61" s="118"/>
      <c r="I61" s="118"/>
      <c r="J61" s="118"/>
      <c r="K61" s="118"/>
      <c r="L61" s="118"/>
    </row>
    <row r="62" spans="1:12" ht="15.75">
      <c r="A62" s="202" t="s">
        <v>372</v>
      </c>
      <c r="B62" s="202" t="s">
        <v>373</v>
      </c>
      <c r="C62" s="202">
        <v>4.0400000000000001E-4</v>
      </c>
      <c r="D62" s="201"/>
      <c r="E62" s="118"/>
      <c r="F62" s="118"/>
      <c r="G62" s="119"/>
      <c r="H62" s="118"/>
      <c r="I62" s="118"/>
      <c r="J62" s="118"/>
      <c r="K62" s="118"/>
      <c r="L62" s="118"/>
    </row>
    <row r="63" spans="1:12" ht="15.75">
      <c r="A63" s="202" t="s">
        <v>374</v>
      </c>
      <c r="B63" s="202" t="s">
        <v>373</v>
      </c>
      <c r="C63" s="203">
        <f>52.62/1000000</f>
        <v>5.2619999999999994E-5</v>
      </c>
      <c r="D63" s="204"/>
      <c r="E63" s="118"/>
      <c r="F63" s="118"/>
      <c r="G63" s="119"/>
      <c r="H63" s="118"/>
      <c r="I63" s="118"/>
      <c r="J63" s="118"/>
      <c r="K63" s="118"/>
      <c r="L63" s="118"/>
    </row>
    <row r="64" spans="1:12" ht="15.75">
      <c r="A64" s="202" t="s">
        <v>375</v>
      </c>
      <c r="B64" s="202" t="s">
        <v>376</v>
      </c>
      <c r="C64" s="205">
        <v>28</v>
      </c>
      <c r="D64" s="118"/>
      <c r="E64" s="118"/>
      <c r="F64" s="118"/>
      <c r="G64" s="119"/>
      <c r="H64" s="118"/>
      <c r="I64" s="118"/>
      <c r="J64" s="118"/>
      <c r="K64" s="118"/>
      <c r="L64" s="118"/>
    </row>
    <row r="65" spans="1:12" ht="15.75">
      <c r="A65" s="234" t="s">
        <v>377</v>
      </c>
      <c r="B65" s="234"/>
      <c r="C65" s="234"/>
      <c r="D65" s="118"/>
      <c r="E65" s="118"/>
      <c r="F65" s="118"/>
      <c r="G65" s="119"/>
      <c r="H65" s="118"/>
      <c r="I65" s="118"/>
      <c r="J65" s="118"/>
      <c r="K65" s="118"/>
      <c r="L65" s="118"/>
    </row>
    <row r="66" spans="1:12" ht="14.25">
      <c r="A66" s="206"/>
      <c r="B66" s="207"/>
      <c r="C66" s="118"/>
      <c r="D66" s="118"/>
      <c r="E66" s="118"/>
      <c r="F66" s="118"/>
      <c r="G66" s="119"/>
      <c r="H66" s="118"/>
      <c r="I66" s="118"/>
      <c r="J66" s="118"/>
      <c r="K66" s="118"/>
      <c r="L66" s="118"/>
    </row>
    <row r="67" spans="1:12" ht="14.25">
      <c r="A67" s="206"/>
      <c r="B67" s="206"/>
      <c r="C67" s="118"/>
      <c r="D67" s="118"/>
      <c r="E67" s="118"/>
      <c r="F67" s="118"/>
      <c r="G67" s="119"/>
      <c r="H67" s="118"/>
      <c r="I67" s="118"/>
      <c r="J67" s="118"/>
      <c r="K67" s="118"/>
      <c r="L67" s="118"/>
    </row>
    <row r="69" spans="1:12" ht="12.75" customHeight="1">
      <c r="A69" s="235" t="s">
        <v>378</v>
      </c>
      <c r="B69" s="235"/>
      <c r="C69" s="235"/>
    </row>
    <row r="70" spans="1:12" ht="12.75" customHeight="1">
      <c r="A70" s="235"/>
      <c r="B70" s="235"/>
      <c r="C70" s="235"/>
    </row>
    <row r="71" spans="1:12" ht="12.75" customHeight="1">
      <c r="A71" s="235"/>
      <c r="B71" s="235"/>
      <c r="C71" s="235"/>
    </row>
    <row r="72" spans="1:12" ht="12.75" customHeight="1">
      <c r="A72" s="235"/>
      <c r="B72" s="235"/>
      <c r="C72" s="235"/>
    </row>
    <row r="73" spans="1:12" ht="12.75" customHeight="1">
      <c r="A73" s="235"/>
      <c r="B73" s="235"/>
      <c r="C73" s="235"/>
    </row>
    <row r="74" spans="1:12" ht="12.75" customHeight="1">
      <c r="A74" s="235"/>
      <c r="B74" s="235"/>
      <c r="C74" s="235"/>
    </row>
    <row r="75" spans="1:12" ht="12.75" customHeight="1">
      <c r="A75" s="235"/>
      <c r="B75" s="235"/>
      <c r="C75" s="235"/>
    </row>
    <row r="76" spans="1:12" ht="12.75" customHeight="1">
      <c r="A76" s="235"/>
      <c r="B76" s="235"/>
      <c r="C76" s="235"/>
    </row>
    <row r="77" spans="1:12" ht="12.75" customHeight="1">
      <c r="A77" s="235"/>
      <c r="B77" s="235"/>
      <c r="C77" s="235"/>
    </row>
    <row r="78" spans="1:12" ht="12.75" customHeight="1">
      <c r="A78" s="235"/>
      <c r="B78" s="235"/>
      <c r="C78" s="235"/>
    </row>
  </sheetData>
  <sheetProtection algorithmName="SHA-512" hashValue="2gBuFQVfCioNPP+FGqwjcLZ6vbci9fJyca0SmRbfACQ21QMwgwMlRLFEZG4qLN58bCVeeYp0UDbNnQ2/KeY9tg==" saltValue="P9wH3wFOwC+/SQvX1t9J8g==" spinCount="100000" sheet="1" objects="1" scenarios="1"/>
  <mergeCells count="17">
    <mergeCell ref="A35:C35"/>
    <mergeCell ref="A3:C3"/>
    <mergeCell ref="A12:A13"/>
    <mergeCell ref="F18:G18"/>
    <mergeCell ref="F21:G21"/>
    <mergeCell ref="A27:A28"/>
    <mergeCell ref="A29:C29"/>
    <mergeCell ref="A30:C30"/>
    <mergeCell ref="A31:C31"/>
    <mergeCell ref="A32:C32"/>
    <mergeCell ref="A33:C33"/>
    <mergeCell ref="A34:C34"/>
    <mergeCell ref="A41:B41"/>
    <mergeCell ref="A42:B42"/>
    <mergeCell ref="A56:B56"/>
    <mergeCell ref="A65:C65"/>
    <mergeCell ref="A69:C78"/>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9"/>
  <sheetViews>
    <sheetView topLeftCell="A46" workbookViewId="0">
      <selection activeCell="D79" sqref="D79"/>
    </sheetView>
  </sheetViews>
  <sheetFormatPr defaultRowHeight="14.25"/>
  <cols>
    <col min="1" max="1" width="33.375" customWidth="1"/>
    <col min="2" max="2" width="39" customWidth="1"/>
    <col min="3" max="3" width="19" customWidth="1"/>
    <col min="4" max="4" width="15.5" customWidth="1"/>
    <col min="5" max="5" width="18.375" customWidth="1"/>
    <col min="6" max="6" width="18" customWidth="1"/>
    <col min="7" max="1024" width="8" customWidth="1"/>
  </cols>
  <sheetData>
    <row r="1" spans="1:6" ht="18">
      <c r="A1" s="34" t="s">
        <v>84</v>
      </c>
    </row>
    <row r="2" spans="1:6" s="39" customFormat="1" ht="189">
      <c r="A2" s="35" t="s">
        <v>85</v>
      </c>
      <c r="B2" s="35" t="s">
        <v>86</v>
      </c>
      <c r="C2" s="35" t="s">
        <v>87</v>
      </c>
      <c r="D2" s="36" t="s">
        <v>88</v>
      </c>
      <c r="E2" s="37" t="s">
        <v>89</v>
      </c>
      <c r="F2" s="38" t="s">
        <v>90</v>
      </c>
    </row>
    <row r="3" spans="1:6">
      <c r="A3" t="s">
        <v>91</v>
      </c>
      <c r="B3" t="s">
        <v>92</v>
      </c>
      <c r="C3" t="s">
        <v>93</v>
      </c>
      <c r="D3" s="24">
        <v>11147649</v>
      </c>
      <c r="E3" s="40">
        <v>30990464.219999999</v>
      </c>
      <c r="F3" s="40">
        <v>4361517.67</v>
      </c>
    </row>
    <row r="4" spans="1:6">
      <c r="A4" t="s">
        <v>94</v>
      </c>
      <c r="B4" t="s">
        <v>92</v>
      </c>
      <c r="C4" t="s">
        <v>93</v>
      </c>
      <c r="D4" s="24">
        <v>10188867</v>
      </c>
      <c r="E4" s="40">
        <v>28325050.260000002</v>
      </c>
      <c r="F4" s="40">
        <v>3986394.21</v>
      </c>
    </row>
    <row r="5" spans="1:6">
      <c r="A5" t="s">
        <v>95</v>
      </c>
      <c r="B5" t="s">
        <v>92</v>
      </c>
      <c r="C5" t="s">
        <v>93</v>
      </c>
      <c r="D5" s="24">
        <v>9981502</v>
      </c>
      <c r="E5" s="40">
        <v>27748575.559999999</v>
      </c>
      <c r="F5" s="40">
        <v>3905262.66</v>
      </c>
    </row>
    <row r="6" spans="1:6">
      <c r="A6" t="s">
        <v>96</v>
      </c>
      <c r="B6" t="s">
        <v>97</v>
      </c>
      <c r="C6" t="s">
        <v>93</v>
      </c>
      <c r="D6" s="24">
        <v>9566283</v>
      </c>
      <c r="E6" s="40">
        <v>26594266.739999998</v>
      </c>
      <c r="F6" s="40">
        <v>3742808.22</v>
      </c>
    </row>
    <row r="7" spans="1:6">
      <c r="A7" t="s">
        <v>98</v>
      </c>
      <c r="B7" t="s">
        <v>97</v>
      </c>
      <c r="C7" t="s">
        <v>93</v>
      </c>
      <c r="D7" s="24">
        <v>9051675</v>
      </c>
      <c r="E7" s="40">
        <v>25163656.5</v>
      </c>
      <c r="F7" s="40">
        <v>3541467.84</v>
      </c>
    </row>
    <row r="8" spans="1:6">
      <c r="A8" t="s">
        <v>99</v>
      </c>
      <c r="B8" t="s">
        <v>92</v>
      </c>
      <c r="C8" t="s">
        <v>93</v>
      </c>
      <c r="D8" s="24">
        <v>8894418</v>
      </c>
      <c r="E8" s="40">
        <v>24726482.039999999</v>
      </c>
      <c r="F8" s="40">
        <v>3479941.04</v>
      </c>
    </row>
    <row r="9" spans="1:6">
      <c r="A9" t="s">
        <v>100</v>
      </c>
      <c r="B9" t="s">
        <v>101</v>
      </c>
      <c r="C9" t="s">
        <v>102</v>
      </c>
      <c r="D9" s="24">
        <v>8892389</v>
      </c>
      <c r="E9" s="40">
        <v>24720841.420000002</v>
      </c>
      <c r="F9" s="40">
        <v>3479147.2</v>
      </c>
    </row>
    <row r="10" spans="1:6">
      <c r="A10" t="s">
        <v>103</v>
      </c>
      <c r="B10" t="s">
        <v>101</v>
      </c>
      <c r="C10" t="s">
        <v>102</v>
      </c>
      <c r="D10" s="24">
        <v>8775712</v>
      </c>
      <c r="E10" s="40">
        <v>24396479.359999999</v>
      </c>
      <c r="F10" s="40">
        <v>3433497.32</v>
      </c>
    </row>
    <row r="11" spans="1:6">
      <c r="A11" t="s">
        <v>104</v>
      </c>
      <c r="B11" t="s">
        <v>105</v>
      </c>
      <c r="C11" t="s">
        <v>106</v>
      </c>
      <c r="D11" s="24">
        <v>8336063</v>
      </c>
      <c r="E11" s="40">
        <v>23174255.140000001</v>
      </c>
      <c r="F11" s="40">
        <v>3261484.65</v>
      </c>
    </row>
    <row r="12" spans="1:6">
      <c r="A12" t="s">
        <v>107</v>
      </c>
      <c r="B12" t="s">
        <v>105</v>
      </c>
      <c r="C12" t="s">
        <v>106</v>
      </c>
      <c r="D12" s="24">
        <v>8226795</v>
      </c>
      <c r="E12" s="40">
        <v>22870490.100000001</v>
      </c>
      <c r="F12" s="40">
        <v>3218733.54</v>
      </c>
    </row>
    <row r="13" spans="1:6">
      <c r="A13" t="s">
        <v>108</v>
      </c>
      <c r="B13" t="s">
        <v>105</v>
      </c>
      <c r="C13" t="s">
        <v>106</v>
      </c>
      <c r="D13" s="24">
        <v>8182121</v>
      </c>
      <c r="E13" s="40">
        <v>22746296.379999999</v>
      </c>
      <c r="F13" s="40">
        <v>3201254.84</v>
      </c>
    </row>
    <row r="14" spans="1:6">
      <c r="A14" t="s">
        <v>109</v>
      </c>
      <c r="B14" t="s">
        <v>101</v>
      </c>
      <c r="C14" t="s">
        <v>102</v>
      </c>
      <c r="D14" s="24">
        <v>8098811</v>
      </c>
      <c r="E14" s="40">
        <v>22514694.579999998</v>
      </c>
      <c r="F14" s="40">
        <v>3168659.8</v>
      </c>
    </row>
    <row r="15" spans="1:6">
      <c r="A15" t="s">
        <v>110</v>
      </c>
      <c r="B15" t="s">
        <v>101</v>
      </c>
      <c r="C15" t="s">
        <v>93</v>
      </c>
      <c r="D15" s="24">
        <v>7753259</v>
      </c>
      <c r="E15" s="40">
        <v>21554060.02</v>
      </c>
      <c r="F15" s="40">
        <v>3033462.58</v>
      </c>
    </row>
    <row r="16" spans="1:6">
      <c r="A16" t="s">
        <v>111</v>
      </c>
      <c r="B16" t="s">
        <v>97</v>
      </c>
      <c r="C16" t="s">
        <v>93</v>
      </c>
      <c r="D16" s="24">
        <v>7709554</v>
      </c>
      <c r="E16" s="40">
        <v>21432560.120000001</v>
      </c>
      <c r="F16" s="40">
        <v>3016363</v>
      </c>
    </row>
    <row r="17" spans="1:6">
      <c r="A17" t="s">
        <v>112</v>
      </c>
      <c r="B17" t="s">
        <v>113</v>
      </c>
      <c r="C17" t="s">
        <v>102</v>
      </c>
      <c r="D17" s="24">
        <v>7653677</v>
      </c>
      <c r="E17" s="40">
        <v>21277222.059999999</v>
      </c>
      <c r="F17" s="40">
        <v>2994501.13</v>
      </c>
    </row>
    <row r="18" spans="1:6">
      <c r="A18" t="s">
        <v>114</v>
      </c>
      <c r="B18" t="s">
        <v>115</v>
      </c>
      <c r="C18" t="s">
        <v>93</v>
      </c>
      <c r="D18" s="24">
        <v>7633418</v>
      </c>
      <c r="E18" s="40">
        <v>21220902.039999999</v>
      </c>
      <c r="F18" s="40">
        <v>2986574.79</v>
      </c>
    </row>
    <row r="19" spans="1:6">
      <c r="A19" t="s">
        <v>116</v>
      </c>
      <c r="B19" t="s">
        <v>101</v>
      </c>
      <c r="C19" t="s">
        <v>93</v>
      </c>
      <c r="D19" s="24">
        <v>7590559</v>
      </c>
      <c r="E19" s="40">
        <v>21101754.02</v>
      </c>
      <c r="F19" s="40">
        <v>2969806.21</v>
      </c>
    </row>
    <row r="20" spans="1:6">
      <c r="A20" t="s">
        <v>117</v>
      </c>
      <c r="B20" t="s">
        <v>118</v>
      </c>
      <c r="C20" t="s">
        <v>93</v>
      </c>
      <c r="D20" s="24">
        <v>7550917</v>
      </c>
      <c r="E20" s="40">
        <v>20991549.260000002</v>
      </c>
      <c r="F20" s="40">
        <v>2954296.28</v>
      </c>
    </row>
    <row r="21" spans="1:6">
      <c r="A21" t="s">
        <v>119</v>
      </c>
      <c r="B21" t="s">
        <v>101</v>
      </c>
      <c r="C21" t="s">
        <v>102</v>
      </c>
      <c r="D21" s="24">
        <v>7509289</v>
      </c>
      <c r="E21" s="40">
        <v>20875823.420000002</v>
      </c>
      <c r="F21" s="40">
        <v>2938009.32</v>
      </c>
    </row>
    <row r="22" spans="1:6">
      <c r="A22" t="s">
        <v>120</v>
      </c>
      <c r="B22" t="s">
        <v>121</v>
      </c>
      <c r="C22" t="s">
        <v>93</v>
      </c>
      <c r="D22" s="24">
        <v>7505226</v>
      </c>
      <c r="E22" s="40">
        <v>20864528.280000001</v>
      </c>
      <c r="F22" s="40">
        <v>2936419.67</v>
      </c>
    </row>
    <row r="23" spans="1:6">
      <c r="A23" t="s">
        <v>122</v>
      </c>
      <c r="B23" t="s">
        <v>121</v>
      </c>
      <c r="C23" t="s">
        <v>93</v>
      </c>
      <c r="D23" s="24">
        <v>7491997</v>
      </c>
      <c r="E23" s="40">
        <v>20827751.66</v>
      </c>
      <c r="F23" s="40">
        <v>2931243.83</v>
      </c>
    </row>
    <row r="24" spans="1:6">
      <c r="A24" t="s">
        <v>123</v>
      </c>
      <c r="B24" t="s">
        <v>124</v>
      </c>
      <c r="C24" t="s">
        <v>125</v>
      </c>
      <c r="D24" s="24">
        <v>7341067</v>
      </c>
      <c r="E24" s="40">
        <v>20408166.260000002</v>
      </c>
      <c r="F24" s="40">
        <v>2872192.46</v>
      </c>
    </row>
    <row r="25" spans="1:6">
      <c r="A25" t="s">
        <v>126</v>
      </c>
      <c r="B25" t="s">
        <v>124</v>
      </c>
      <c r="C25" t="s">
        <v>125</v>
      </c>
      <c r="D25" s="24">
        <v>7320787</v>
      </c>
      <c r="E25" s="40">
        <v>20351787.859999999</v>
      </c>
      <c r="F25" s="40">
        <v>2864257.91</v>
      </c>
    </row>
    <row r="26" spans="1:6">
      <c r="A26" t="s">
        <v>127</v>
      </c>
      <c r="B26" t="s">
        <v>115</v>
      </c>
      <c r="C26" t="s">
        <v>93</v>
      </c>
      <c r="D26" s="24">
        <v>7237383</v>
      </c>
      <c r="E26" s="40">
        <v>20119924.739999998</v>
      </c>
      <c r="F26" s="40">
        <v>2831626.1</v>
      </c>
    </row>
    <row r="27" spans="1:6">
      <c r="A27" t="s">
        <v>128</v>
      </c>
      <c r="B27" t="s">
        <v>121</v>
      </c>
      <c r="C27" t="s">
        <v>93</v>
      </c>
      <c r="D27" s="24">
        <v>7217543</v>
      </c>
      <c r="E27" s="40">
        <v>20064769.539999999</v>
      </c>
      <c r="F27" s="40">
        <v>2823863.7</v>
      </c>
    </row>
    <row r="28" spans="1:6">
      <c r="A28" t="s">
        <v>129</v>
      </c>
      <c r="B28" t="s">
        <v>97</v>
      </c>
      <c r="C28" t="s">
        <v>93</v>
      </c>
      <c r="D28" s="24">
        <v>7211088</v>
      </c>
      <c r="E28" s="40">
        <v>20046824.640000001</v>
      </c>
      <c r="F28" s="40">
        <v>2821338.18</v>
      </c>
    </row>
    <row r="29" spans="1:6">
      <c r="A29" t="s">
        <v>130</v>
      </c>
      <c r="B29" t="s">
        <v>97</v>
      </c>
      <c r="C29" t="s">
        <v>93</v>
      </c>
      <c r="D29" s="24">
        <v>7114035</v>
      </c>
      <c r="E29" s="40">
        <v>19777017.300000001</v>
      </c>
      <c r="F29" s="40">
        <v>2783366.19</v>
      </c>
    </row>
    <row r="30" spans="1:6">
      <c r="A30" t="s">
        <v>131</v>
      </c>
      <c r="B30" t="s">
        <v>97</v>
      </c>
      <c r="C30" t="s">
        <v>93</v>
      </c>
      <c r="D30" s="24">
        <v>7112693</v>
      </c>
      <c r="E30" s="40">
        <v>19773286.539999999</v>
      </c>
      <c r="F30" s="40">
        <v>2782841.14</v>
      </c>
    </row>
    <row r="31" spans="1:6">
      <c r="A31" t="s">
        <v>132</v>
      </c>
      <c r="B31" t="s">
        <v>124</v>
      </c>
      <c r="C31" t="s">
        <v>125</v>
      </c>
      <c r="D31" s="24">
        <v>7092172</v>
      </c>
      <c r="E31" s="40">
        <v>19716238.16</v>
      </c>
      <c r="F31" s="40">
        <v>2774812.29</v>
      </c>
    </row>
    <row r="32" spans="1:6">
      <c r="A32" t="s">
        <v>133</v>
      </c>
      <c r="B32" t="s">
        <v>97</v>
      </c>
      <c r="C32" t="s">
        <v>93</v>
      </c>
      <c r="D32" s="24">
        <v>7077962</v>
      </c>
      <c r="E32" s="40">
        <v>19676734.359999999</v>
      </c>
      <c r="F32" s="40">
        <v>2769252.63</v>
      </c>
    </row>
    <row r="33" spans="1:6">
      <c r="A33" t="s">
        <v>134</v>
      </c>
      <c r="B33" t="s">
        <v>124</v>
      </c>
      <c r="C33" t="s">
        <v>125</v>
      </c>
      <c r="D33" s="24">
        <v>7064743</v>
      </c>
      <c r="E33" s="40">
        <v>19639985.539999999</v>
      </c>
      <c r="F33" s="40">
        <v>2764080.7</v>
      </c>
    </row>
    <row r="34" spans="1:6">
      <c r="A34" t="s">
        <v>135</v>
      </c>
      <c r="B34" t="s">
        <v>124</v>
      </c>
      <c r="C34" t="s">
        <v>125</v>
      </c>
      <c r="D34" s="24">
        <v>7057533</v>
      </c>
      <c r="E34" s="40">
        <v>19619941.739999998</v>
      </c>
      <c r="F34" s="40">
        <v>2761259.79</v>
      </c>
    </row>
    <row r="35" spans="1:6">
      <c r="A35" t="s">
        <v>136</v>
      </c>
      <c r="B35" t="s">
        <v>124</v>
      </c>
      <c r="C35" t="s">
        <v>125</v>
      </c>
      <c r="D35" s="24">
        <v>7036440</v>
      </c>
      <c r="E35" s="40">
        <v>19561303.199999999</v>
      </c>
      <c r="F35" s="40">
        <v>2753007.15</v>
      </c>
    </row>
    <row r="36" spans="1:6">
      <c r="A36" t="s">
        <v>137</v>
      </c>
      <c r="B36" t="s">
        <v>101</v>
      </c>
      <c r="C36" t="s">
        <v>102</v>
      </c>
      <c r="D36" s="24">
        <v>7005841</v>
      </c>
      <c r="E36" s="40">
        <v>19476237.98</v>
      </c>
      <c r="F36" s="40">
        <v>2741035.29</v>
      </c>
    </row>
    <row r="37" spans="1:6">
      <c r="A37" t="s">
        <v>138</v>
      </c>
      <c r="B37" t="s">
        <v>97</v>
      </c>
      <c r="C37" t="s">
        <v>93</v>
      </c>
      <c r="D37" s="24">
        <v>6985394</v>
      </c>
      <c r="E37" s="40">
        <v>19419395.32</v>
      </c>
      <c r="F37" s="40">
        <v>2733035.4</v>
      </c>
    </row>
    <row r="38" spans="1:6">
      <c r="A38" t="s">
        <v>139</v>
      </c>
      <c r="B38" t="s">
        <v>97</v>
      </c>
      <c r="C38" t="s">
        <v>93</v>
      </c>
      <c r="D38" s="24">
        <v>6980881</v>
      </c>
      <c r="E38" s="40">
        <v>19406849.18</v>
      </c>
      <c r="F38" s="40">
        <v>2731269.69</v>
      </c>
    </row>
    <row r="39" spans="1:6">
      <c r="A39" t="s">
        <v>140</v>
      </c>
      <c r="B39" t="s">
        <v>97</v>
      </c>
      <c r="C39" t="s">
        <v>93</v>
      </c>
      <c r="D39" s="24">
        <v>6972823</v>
      </c>
      <c r="E39" s="40">
        <v>19384447.940000001</v>
      </c>
      <c r="F39" s="40">
        <v>2728117</v>
      </c>
    </row>
    <row r="40" spans="1:6">
      <c r="A40" t="s">
        <v>141</v>
      </c>
      <c r="B40" t="s">
        <v>105</v>
      </c>
      <c r="C40" t="s">
        <v>106</v>
      </c>
      <c r="D40" s="24">
        <v>6939464</v>
      </c>
      <c r="E40" s="40">
        <v>19291709.920000002</v>
      </c>
      <c r="F40" s="40">
        <v>2715065.29</v>
      </c>
    </row>
    <row r="41" spans="1:6">
      <c r="A41" t="s">
        <v>142</v>
      </c>
      <c r="B41" t="s">
        <v>143</v>
      </c>
      <c r="C41" t="s">
        <v>106</v>
      </c>
      <c r="D41" s="24">
        <v>6931540</v>
      </c>
      <c r="E41" s="40">
        <v>19269681.199999999</v>
      </c>
      <c r="F41" s="40">
        <v>2711965.02</v>
      </c>
    </row>
    <row r="42" spans="1:6">
      <c r="A42" t="s">
        <v>144</v>
      </c>
      <c r="B42" t="s">
        <v>145</v>
      </c>
      <c r="C42" t="s">
        <v>102</v>
      </c>
      <c r="D42" s="24">
        <v>6910832</v>
      </c>
      <c r="E42" s="40">
        <v>19212112.960000001</v>
      </c>
      <c r="F42" s="40">
        <v>2703863.02</v>
      </c>
    </row>
    <row r="43" spans="1:6">
      <c r="A43" t="s">
        <v>146</v>
      </c>
      <c r="B43" t="s">
        <v>92</v>
      </c>
      <c r="C43" t="s">
        <v>93</v>
      </c>
      <c r="D43" s="24">
        <v>6891663</v>
      </c>
      <c r="E43" s="40">
        <v>19158823.140000001</v>
      </c>
      <c r="F43" s="40">
        <v>2696363.15</v>
      </c>
    </row>
    <row r="44" spans="1:6">
      <c r="A44" t="s">
        <v>147</v>
      </c>
      <c r="B44" t="s">
        <v>124</v>
      </c>
      <c r="C44" t="s">
        <v>125</v>
      </c>
      <c r="D44" s="24">
        <v>6880198</v>
      </c>
      <c r="E44" s="40">
        <v>19126950.440000001</v>
      </c>
      <c r="F44" s="40">
        <v>2691877.47</v>
      </c>
    </row>
    <row r="45" spans="1:6">
      <c r="A45" t="s">
        <v>148</v>
      </c>
      <c r="B45" t="s">
        <v>97</v>
      </c>
      <c r="C45" t="s">
        <v>93</v>
      </c>
      <c r="D45" s="24">
        <v>6804626</v>
      </c>
      <c r="E45" s="40">
        <v>18916860.280000001</v>
      </c>
      <c r="F45" s="40">
        <v>2662309.92</v>
      </c>
    </row>
    <row r="46" spans="1:6">
      <c r="A46" t="s">
        <v>149</v>
      </c>
      <c r="B46" t="s">
        <v>97</v>
      </c>
      <c r="C46" t="s">
        <v>93</v>
      </c>
      <c r="D46" s="24">
        <v>6802426</v>
      </c>
      <c r="E46" s="40">
        <v>18910744.280000001</v>
      </c>
      <c r="F46" s="40">
        <v>2661449.17</v>
      </c>
    </row>
    <row r="47" spans="1:6">
      <c r="A47" t="s">
        <v>150</v>
      </c>
      <c r="B47" t="s">
        <v>101</v>
      </c>
      <c r="C47" t="s">
        <v>93</v>
      </c>
      <c r="D47" s="24">
        <v>6760695</v>
      </c>
      <c r="E47" s="40">
        <v>18794732.100000001</v>
      </c>
      <c r="F47" s="40">
        <v>2645121.92</v>
      </c>
    </row>
    <row r="48" spans="1:6">
      <c r="A48" t="s">
        <v>151</v>
      </c>
      <c r="B48" t="s">
        <v>97</v>
      </c>
      <c r="C48" t="s">
        <v>93</v>
      </c>
      <c r="D48" s="24">
        <v>6758712</v>
      </c>
      <c r="E48" s="40">
        <v>18789219.359999999</v>
      </c>
      <c r="F48" s="40">
        <v>2644346.0699999998</v>
      </c>
    </row>
    <row r="49" spans="1:8">
      <c r="A49" t="s">
        <v>152</v>
      </c>
      <c r="B49" t="s">
        <v>121</v>
      </c>
      <c r="C49" t="s">
        <v>93</v>
      </c>
      <c r="D49" s="24">
        <v>6758703</v>
      </c>
      <c r="E49" s="40">
        <v>18789194.34</v>
      </c>
      <c r="F49" s="40">
        <v>2644342.5499999998</v>
      </c>
    </row>
    <row r="50" spans="1:8">
      <c r="A50" t="s">
        <v>153</v>
      </c>
      <c r="B50" t="s">
        <v>97</v>
      </c>
      <c r="C50" t="s">
        <v>93</v>
      </c>
      <c r="D50" s="24">
        <v>6757596</v>
      </c>
      <c r="E50" s="40">
        <v>18786116.879999999</v>
      </c>
      <c r="F50" s="40">
        <v>2643909.44</v>
      </c>
    </row>
    <row r="51" spans="1:8">
      <c r="A51" t="s">
        <v>154</v>
      </c>
      <c r="B51" t="s">
        <v>115</v>
      </c>
      <c r="C51" t="s">
        <v>93</v>
      </c>
      <c r="D51" s="24">
        <v>6750199</v>
      </c>
      <c r="E51" s="40">
        <v>18765553.219999999</v>
      </c>
      <c r="F51" s="40">
        <v>2641015.36</v>
      </c>
    </row>
    <row r="52" spans="1:8">
      <c r="A52" t="s">
        <v>155</v>
      </c>
      <c r="B52" t="s">
        <v>124</v>
      </c>
      <c r="C52" t="s">
        <v>125</v>
      </c>
      <c r="D52" s="24">
        <v>6725720</v>
      </c>
      <c r="E52" s="40">
        <v>18697501.600000001</v>
      </c>
      <c r="F52" s="40">
        <v>2631437.9500000002</v>
      </c>
    </row>
    <row r="54" spans="1:8">
      <c r="C54" s="41" t="s">
        <v>156</v>
      </c>
      <c r="D54" s="24">
        <f>AVERAGE(D3:D52)</f>
        <v>7604818.7999999998</v>
      </c>
    </row>
    <row r="55" spans="1:8">
      <c r="C55" s="41"/>
      <c r="D55" s="24"/>
    </row>
    <row r="56" spans="1:8">
      <c r="C56" s="41"/>
      <c r="D56" s="24"/>
    </row>
    <row r="57" spans="1:8">
      <c r="A57" s="42" t="s">
        <v>157</v>
      </c>
      <c r="B57" s="43"/>
      <c r="C57" s="44"/>
      <c r="D57" s="45"/>
      <c r="E57" s="43"/>
      <c r="F57" s="43"/>
      <c r="G57" s="43"/>
      <c r="H57" s="46"/>
    </row>
    <row r="58" spans="1:8">
      <c r="A58" s="47" t="s">
        <v>158</v>
      </c>
      <c r="B58" s="30"/>
      <c r="C58" s="30"/>
      <c r="D58" s="48">
        <f>'TFL (2006) (20yr GWP)'!C54*1000</f>
        <v>40583000</v>
      </c>
      <c r="E58" s="49" t="s">
        <v>159</v>
      </c>
      <c r="F58" s="30"/>
      <c r="G58" s="30"/>
      <c r="H58" s="50"/>
    </row>
    <row r="59" spans="1:8">
      <c r="A59" s="51"/>
      <c r="B59" s="30"/>
      <c r="C59" s="30"/>
      <c r="D59" s="52">
        <f>D58/D54</f>
        <v>5.3364848088162207</v>
      </c>
      <c r="E59" s="49" t="s">
        <v>160</v>
      </c>
      <c r="F59" s="30"/>
      <c r="G59" s="30"/>
      <c r="H59" s="50"/>
    </row>
    <row r="60" spans="1:8">
      <c r="A60" s="51"/>
      <c r="B60" s="30"/>
      <c r="C60" s="30"/>
      <c r="D60" s="30"/>
      <c r="E60" s="30"/>
      <c r="F60" s="30"/>
      <c r="G60" s="30"/>
      <c r="H60" s="50"/>
    </row>
    <row r="61" spans="1:8">
      <c r="A61" s="51"/>
      <c r="B61" s="30"/>
      <c r="C61" s="30"/>
      <c r="D61" s="30">
        <f>'Emission Calculations (84)'!D36/1000000</f>
        <v>6.1867180938261525E-2</v>
      </c>
      <c r="E61" s="49" t="s">
        <v>161</v>
      </c>
      <c r="F61" s="30"/>
      <c r="G61" s="30"/>
      <c r="H61" s="50"/>
    </row>
    <row r="62" spans="1:8">
      <c r="A62" s="53"/>
      <c r="B62" s="54"/>
      <c r="C62" s="54"/>
      <c r="D62" s="54"/>
      <c r="E62" s="55"/>
      <c r="F62" s="54"/>
      <c r="G62" s="54"/>
      <c r="H62" s="56"/>
    </row>
    <row r="63" spans="1:8">
      <c r="A63" s="51"/>
      <c r="B63" s="30"/>
      <c r="C63" s="30"/>
      <c r="D63" s="30"/>
      <c r="E63" s="30"/>
      <c r="F63" s="30"/>
      <c r="G63" s="30"/>
      <c r="H63" s="50"/>
    </row>
    <row r="64" spans="1:8">
      <c r="A64" s="47" t="s">
        <v>162</v>
      </c>
      <c r="B64" s="30"/>
      <c r="C64" s="30"/>
      <c r="D64" s="48">
        <f>'TFL (Maximum (20yr GWP)'!C54*1000</f>
        <v>10744000</v>
      </c>
      <c r="E64" s="49" t="s">
        <v>159</v>
      </c>
      <c r="F64" s="30"/>
      <c r="G64" s="30"/>
      <c r="H64" s="50"/>
    </row>
    <row r="65" spans="1:8">
      <c r="A65" s="51"/>
      <c r="B65" s="30"/>
      <c r="C65" s="30"/>
      <c r="D65" s="52">
        <f>D64/D54</f>
        <v>1.4127884283054843</v>
      </c>
      <c r="E65" s="49" t="s">
        <v>160</v>
      </c>
      <c r="F65" s="30"/>
      <c r="G65" s="30"/>
      <c r="H65" s="50"/>
    </row>
    <row r="66" spans="1:8">
      <c r="A66" s="51"/>
      <c r="B66" s="30"/>
      <c r="C66" s="30"/>
      <c r="D66" s="30"/>
      <c r="E66" s="30"/>
      <c r="F66" s="30"/>
      <c r="G66" s="30"/>
      <c r="H66" s="50"/>
    </row>
    <row r="67" spans="1:8">
      <c r="A67" s="51"/>
      <c r="B67" s="30"/>
      <c r="C67" s="30"/>
      <c r="D67" s="30">
        <f>'Emission Calculations (84) (2)'!D36/1000000</f>
        <v>4.0747483864287844E-2</v>
      </c>
      <c r="E67" s="49" t="s">
        <v>163</v>
      </c>
      <c r="F67" s="30"/>
      <c r="G67" s="30"/>
      <c r="H67" s="50"/>
    </row>
    <row r="68" spans="1:8">
      <c r="A68" s="53"/>
      <c r="B68" s="54"/>
      <c r="C68" s="54"/>
      <c r="D68" s="54"/>
      <c r="E68" s="54"/>
      <c r="F68" s="54"/>
      <c r="G68" s="54"/>
      <c r="H68" s="56"/>
    </row>
    <row r="69" spans="1:8">
      <c r="A69" s="51"/>
      <c r="B69" s="30"/>
      <c r="C69" s="30"/>
      <c r="D69" s="30"/>
      <c r="E69" s="30"/>
      <c r="F69" s="30"/>
      <c r="G69" s="30"/>
      <c r="H69" s="50"/>
    </row>
    <row r="70" spans="1:8">
      <c r="A70" s="47" t="s">
        <v>164</v>
      </c>
      <c r="B70" s="30"/>
      <c r="C70" s="30"/>
      <c r="D70" s="48">
        <f>'TFL (Average) (20yr GWP)'!C54*1000</f>
        <v>25325666.666666657</v>
      </c>
      <c r="E70" s="49" t="s">
        <v>159</v>
      </c>
      <c r="F70" s="30"/>
      <c r="G70" s="30"/>
      <c r="H70" s="50"/>
    </row>
    <row r="71" spans="1:8">
      <c r="A71" s="51"/>
      <c r="B71" s="30"/>
      <c r="C71" s="30"/>
      <c r="D71" s="52">
        <f>D70/D54</f>
        <v>3.3302130310674407</v>
      </c>
      <c r="E71" s="49" t="s">
        <v>160</v>
      </c>
      <c r="F71" s="30"/>
      <c r="G71" s="30"/>
      <c r="H71" s="50"/>
    </row>
    <row r="72" spans="1:8">
      <c r="A72" s="51"/>
      <c r="B72" s="30"/>
      <c r="C72" s="30"/>
      <c r="D72" s="30"/>
      <c r="E72" s="30"/>
      <c r="F72" s="30"/>
      <c r="G72" s="30"/>
      <c r="H72" s="50"/>
    </row>
    <row r="73" spans="1:8">
      <c r="A73" s="51"/>
      <c r="B73" s="30"/>
      <c r="C73" s="30"/>
      <c r="D73" s="30">
        <f>'Emission Calculations (84) (3)'!D36/1000000</f>
        <v>5.1307332401274691E-2</v>
      </c>
      <c r="E73" s="49" t="s">
        <v>165</v>
      </c>
      <c r="F73" s="30"/>
      <c r="G73" s="30"/>
      <c r="H73" s="50"/>
    </row>
    <row r="74" spans="1:8">
      <c r="A74" s="53"/>
      <c r="B74" s="54"/>
      <c r="C74" s="54"/>
      <c r="D74" s="54"/>
      <c r="E74" s="54"/>
      <c r="F74" s="54"/>
      <c r="G74" s="54"/>
      <c r="H74" s="56"/>
    </row>
    <row r="75" spans="1:8">
      <c r="A75" s="51"/>
      <c r="B75" s="30"/>
      <c r="C75" s="30"/>
      <c r="D75" s="30"/>
      <c r="E75" s="30"/>
      <c r="F75" s="30"/>
      <c r="G75" s="30"/>
      <c r="H75" s="50"/>
    </row>
    <row r="76" spans="1:8">
      <c r="A76" s="47" t="s">
        <v>166</v>
      </c>
      <c r="B76" s="30"/>
      <c r="C76" s="30"/>
      <c r="D76" s="48">
        <f>'TFL (67%) (20yr GWP)'!C54*1000</f>
        <v>149327590</v>
      </c>
      <c r="E76" s="49" t="s">
        <v>159</v>
      </c>
      <c r="F76" s="30"/>
      <c r="G76" s="30"/>
      <c r="H76" s="50"/>
    </row>
    <row r="77" spans="1:8">
      <c r="A77" s="51"/>
      <c r="B77" s="30"/>
      <c r="C77" s="30"/>
      <c r="D77" s="52">
        <f>D76/D54</f>
        <v>19.635916900478943</v>
      </c>
      <c r="E77" s="49" t="s">
        <v>160</v>
      </c>
      <c r="F77" s="30"/>
      <c r="G77" s="30"/>
      <c r="H77" s="50"/>
    </row>
    <row r="78" spans="1:8">
      <c r="A78" s="51"/>
      <c r="B78" s="30"/>
      <c r="C78" s="30"/>
      <c r="D78" s="30"/>
      <c r="E78" s="30"/>
      <c r="F78" s="30"/>
      <c r="G78" s="30"/>
      <c r="H78" s="50"/>
    </row>
    <row r="79" spans="1:8">
      <c r="A79" s="53"/>
      <c r="B79" s="54"/>
      <c r="C79" s="54"/>
      <c r="D79" s="54">
        <f>'Emission Calculations (84) (4)'!D36/1000000</f>
        <v>0.13578612069716939</v>
      </c>
      <c r="E79" s="55" t="s">
        <v>167</v>
      </c>
      <c r="F79" s="54"/>
      <c r="G79" s="54"/>
      <c r="H79" s="56"/>
    </row>
  </sheetData>
  <sheetProtection algorithmName="SHA-512" hashValue="tbbH4iErNCxzfJYXK3WsgPi/dNKBl49CCnPBurZlAh80CeBOtw+6OvRwkWZ5CxYgJ02bAguYYePtP83CaZc3vg==" saltValue="JkNqpNS1nQwacl407hiCOA==" spinCount="100000" sheet="1" objects="1" scenarios="1"/>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1"/>
  <sheetViews>
    <sheetView zoomScaleNormal="100" workbookViewId="0">
      <selection activeCell="B10" sqref="B10"/>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6</v>
      </c>
      <c r="C7" s="67" t="s">
        <v>176</v>
      </c>
      <c r="D7" s="68">
        <f>B7*'Guidance and Sources (84)'!D10*1000*'Guidance and Sources (84)'!C62</f>
        <v>22240.2</v>
      </c>
      <c r="E7" s="64"/>
    </row>
    <row r="8" spans="1:5" ht="25.5">
      <c r="A8" s="69" t="s">
        <v>177</v>
      </c>
      <c r="B8" s="70"/>
      <c r="C8" s="70"/>
      <c r="D8" s="71"/>
      <c r="E8" s="64"/>
    </row>
    <row r="9" spans="1:5" ht="55.5" customHeight="1" thickBot="1">
      <c r="A9" s="215" t="s">
        <v>178</v>
      </c>
      <c r="B9" s="66">
        <v>6</v>
      </c>
      <c r="C9" s="67" t="s">
        <v>179</v>
      </c>
      <c r="D9" s="230">
        <f>B9*B10*(('Guidance and Sources (84)'!D25*'Guidance and Sources (84)'!C64)+'Guidance and Sources (84)'!H25)</f>
        <v>9439.3456109605122</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 (84)'!D9*1000*'Guidance and Sources (84)'!C62</f>
        <v>0</v>
      </c>
      <c r="E12" s="64"/>
    </row>
    <row r="13" spans="1:5" ht="105" customHeight="1">
      <c r="A13" s="65" t="s">
        <v>184</v>
      </c>
      <c r="B13" s="66"/>
      <c r="C13" s="67" t="s">
        <v>185</v>
      </c>
      <c r="D13" s="76">
        <f>B13*'Guidance and Sources (84)'!D11*1000*'Guidance and Sources (84)'!C62</f>
        <v>0</v>
      </c>
      <c r="E13" s="64"/>
    </row>
    <row r="14" spans="1:5" ht="105" customHeight="1">
      <c r="A14" s="219" t="s">
        <v>186</v>
      </c>
      <c r="B14" s="66"/>
      <c r="C14" s="75" t="s">
        <v>187</v>
      </c>
      <c r="D14" s="225">
        <f>(B14*'Guidance and Sources (84)'!D15*'Guidance and Sources (84)'!C62)+(B15*'Guidance and Sources (84)'!D16*'Guidance and Sources (84)'!C62)</f>
        <v>0</v>
      </c>
      <c r="E14" s="64"/>
    </row>
    <row r="15" spans="1:5" ht="60" customHeight="1">
      <c r="A15" s="219"/>
      <c r="B15" s="66"/>
      <c r="C15" s="75" t="s">
        <v>188</v>
      </c>
      <c r="D15" s="225"/>
      <c r="E15" s="64"/>
    </row>
    <row r="16" spans="1:5" ht="90" customHeight="1">
      <c r="A16" s="224" t="s">
        <v>189</v>
      </c>
      <c r="B16" s="66"/>
      <c r="C16" s="75" t="s">
        <v>190</v>
      </c>
      <c r="D16" s="225">
        <f>B16*B17*'Guidance and Sources (84)'!D17*'Guidance and Sources (84)'!C62*365</f>
        <v>0</v>
      </c>
      <c r="E16" s="64"/>
    </row>
    <row r="17" spans="1:5" ht="60.75" customHeight="1" thickBot="1">
      <c r="A17" s="224"/>
      <c r="B17" s="77"/>
      <c r="C17" s="73" t="s">
        <v>180</v>
      </c>
      <c r="D17" s="225"/>
      <c r="E17" s="64"/>
    </row>
    <row r="18" spans="1:5" ht="90" customHeight="1">
      <c r="A18" s="219" t="s">
        <v>191</v>
      </c>
      <c r="B18" s="66"/>
      <c r="C18" s="75" t="s">
        <v>190</v>
      </c>
      <c r="D18" s="225">
        <f>B18*B19*'Guidance and Sources (84)'!D22*1000*'Guidance and Sources (84)'!C62</f>
        <v>0</v>
      </c>
      <c r="E18" s="64"/>
    </row>
    <row r="19" spans="1:5" ht="60.75" customHeight="1" thickBot="1">
      <c r="A19" s="219"/>
      <c r="B19" s="77"/>
      <c r="C19" s="73" t="s">
        <v>180</v>
      </c>
      <c r="D19" s="225"/>
      <c r="E19" s="64"/>
    </row>
    <row r="20" spans="1:5" ht="90" customHeight="1">
      <c r="A20" s="78" t="s">
        <v>192</v>
      </c>
      <c r="B20" s="79"/>
      <c r="C20" s="80" t="s">
        <v>193</v>
      </c>
      <c r="D20" s="81">
        <f>B20*1000*'Guidance and Sources (84)'!D20</f>
        <v>0</v>
      </c>
      <c r="E20" s="64"/>
    </row>
    <row r="21" spans="1:5" ht="102" customHeight="1">
      <c r="A21" s="74" t="s">
        <v>194</v>
      </c>
      <c r="B21" s="226"/>
      <c r="C21" s="227" t="s">
        <v>195</v>
      </c>
      <c r="D21" s="68">
        <f>B21*('Guidance and Sources (84)'!D7+'Guidance and Sources (84)'!D8)*365*'Guidance and Sources (84)'!C62</f>
        <v>0</v>
      </c>
      <c r="E21" s="64"/>
    </row>
    <row r="22" spans="1:5" ht="76.5" customHeight="1">
      <c r="A22" s="74" t="s">
        <v>196</v>
      </c>
      <c r="B22" s="226"/>
      <c r="C22" s="227"/>
      <c r="D22" s="68">
        <f>B21*'Guidance and Sources (84)'!D23</f>
        <v>0</v>
      </c>
      <c r="E22" s="64"/>
    </row>
    <row r="23" spans="1:5" ht="75" customHeight="1">
      <c r="A23" s="219" t="s">
        <v>197</v>
      </c>
      <c r="B23" s="82"/>
      <c r="C23" s="75" t="s">
        <v>198</v>
      </c>
      <c r="D23" s="220">
        <f>B23*B24*25*1000*'Guidance and Sources (84)'!C62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 (84)'!D19+'Guidance and Sources (84)'!H19)</f>
        <v>16867.615098873961</v>
      </c>
      <c r="E27" s="64"/>
    </row>
    <row r="28" spans="1:5" ht="75" customHeight="1">
      <c r="A28" s="221" t="s">
        <v>203</v>
      </c>
      <c r="B28" s="66">
        <v>5</v>
      </c>
      <c r="C28" s="75" t="s">
        <v>204</v>
      </c>
      <c r="D28" s="222">
        <f>(B28*(('Guidance and Sources (84)'!D12*'Guidance and Sources (84)'!C62)+('Guidance and Sources (84)'!H12*'Guidance and Sources (84)'!C63)))+(B29*(('Guidance and Sources (84)'!D13*'Guidance and Sources (84)'!C62)+('Guidance and Sources (84)'!H13*'Guidance and Sources (84)'!C63)))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 (84)'!D26*'Guidance and Sources (84)'!C64)+'Guidance and Sources (84)'!H26)</f>
        <v>0</v>
      </c>
      <c r="E30" s="64"/>
    </row>
    <row r="31" spans="1:5" ht="60" customHeight="1">
      <c r="A31" s="221"/>
      <c r="B31" s="87"/>
      <c r="C31" s="88" t="s">
        <v>180</v>
      </c>
      <c r="D31" s="223"/>
      <c r="E31" s="64"/>
    </row>
    <row r="32" spans="1:5" ht="195" customHeight="1" thickBot="1">
      <c r="A32" s="215" t="s">
        <v>208</v>
      </c>
      <c r="B32" s="89">
        <v>10</v>
      </c>
      <c r="C32" s="90" t="s">
        <v>209</v>
      </c>
      <c r="D32" s="91">
        <f>B32*(('Guidance and Sources (84)'!D27*'Guidance and Sources (84)'!C62*1000000)+'Guidance and Sources (84)'!H27)</f>
        <v>9461.3520000000008</v>
      </c>
      <c r="E32" s="92"/>
    </row>
    <row r="33" spans="1:7" ht="29.25" thickBot="1">
      <c r="A33" s="215"/>
      <c r="B33" s="93">
        <v>5</v>
      </c>
      <c r="C33" s="94" t="s">
        <v>210</v>
      </c>
      <c r="D33" s="216">
        <f>B33*B34*(('Guidance and Sources (84)'!D28*'Guidance and Sources (84)'!C62)+'Guidance and Sources (84)'!H28)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61867.180938261525</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pLNn8bxakYUcI0K+cL3++xkhR24OQzyQXOGfDnkxXyceRtteA7wusbtuOHF+Vc+k0mD0L5ky+SMrTnGqPK3vjQ==" saltValue="m0NnPbqe1lm3n+7VKVLfig=="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81"/>
  <sheetViews>
    <sheetView topLeftCell="A4" workbookViewId="0">
      <selection activeCell="B10" sqref="B10"/>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2</v>
      </c>
      <c r="C7" s="67" t="s">
        <v>176</v>
      </c>
      <c r="D7" s="68">
        <f>B7*'Guidance and Sources (84)'!D10*1000*'Guidance and Sources (84)'!C62</f>
        <v>7413.4000000000005</v>
      </c>
      <c r="E7" s="64"/>
    </row>
    <row r="8" spans="1:5" ht="25.5">
      <c r="A8" s="69" t="s">
        <v>177</v>
      </c>
      <c r="B8" s="70"/>
      <c r="C8" s="70"/>
      <c r="D8" s="71"/>
      <c r="E8" s="64"/>
    </row>
    <row r="9" spans="1:5" ht="55.5" customHeight="1" thickBot="1">
      <c r="A9" s="215" t="s">
        <v>178</v>
      </c>
      <c r="B9" s="66">
        <v>2</v>
      </c>
      <c r="C9" s="67" t="s">
        <v>179</v>
      </c>
      <c r="D9" s="230">
        <f>B9*B10*(('Guidance and Sources (84)'!D25*'Guidance and Sources (84)'!C64)+'Guidance and Sources (84)'!H25)</f>
        <v>3146.4485369868371</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 (84)'!D9*1000*'Guidance and Sources (84)'!C62</f>
        <v>0</v>
      </c>
      <c r="E12" s="64"/>
    </row>
    <row r="13" spans="1:5" ht="105" customHeight="1">
      <c r="A13" s="65" t="s">
        <v>184</v>
      </c>
      <c r="B13" s="66"/>
      <c r="C13" s="67" t="s">
        <v>185</v>
      </c>
      <c r="D13" s="76">
        <f>B13*'Guidance and Sources (84)'!D11*1000*'Guidance and Sources (84)'!C62</f>
        <v>0</v>
      </c>
      <c r="E13" s="64"/>
    </row>
    <row r="14" spans="1:5" ht="105" customHeight="1">
      <c r="A14" s="219" t="s">
        <v>186</v>
      </c>
      <c r="B14" s="66"/>
      <c r="C14" s="75" t="s">
        <v>187</v>
      </c>
      <c r="D14" s="225">
        <f>(B14*'Guidance and Sources (84)'!D15*'Guidance and Sources (84)'!C62)+(B15*'Guidance and Sources (84)'!D16*'Guidance and Sources (84)'!C62)</f>
        <v>0</v>
      </c>
      <c r="E14" s="64"/>
    </row>
    <row r="15" spans="1:5" ht="60" customHeight="1">
      <c r="A15" s="219"/>
      <c r="B15" s="66"/>
      <c r="C15" s="75" t="s">
        <v>188</v>
      </c>
      <c r="D15" s="225"/>
      <c r="E15" s="64"/>
    </row>
    <row r="16" spans="1:5" ht="90" customHeight="1">
      <c r="A16" s="224" t="s">
        <v>189</v>
      </c>
      <c r="B16" s="66"/>
      <c r="C16" s="75" t="s">
        <v>190</v>
      </c>
      <c r="D16" s="225">
        <f>B16*B17*'Guidance and Sources (84)'!D17*'Guidance and Sources (84)'!C62*365</f>
        <v>0</v>
      </c>
      <c r="E16" s="64"/>
    </row>
    <row r="17" spans="1:5" ht="60.75" customHeight="1" thickBot="1">
      <c r="A17" s="224"/>
      <c r="B17" s="77"/>
      <c r="C17" s="73" t="s">
        <v>180</v>
      </c>
      <c r="D17" s="225"/>
      <c r="E17" s="64"/>
    </row>
    <row r="18" spans="1:5" ht="90" customHeight="1">
      <c r="A18" s="219" t="s">
        <v>191</v>
      </c>
      <c r="B18" s="66"/>
      <c r="C18" s="75" t="s">
        <v>190</v>
      </c>
      <c r="D18" s="225">
        <f>B18*B19*'Guidance and Sources (84)'!D22*1000*'Guidance and Sources (84)'!C62</f>
        <v>0</v>
      </c>
      <c r="E18" s="64"/>
    </row>
    <row r="19" spans="1:5" ht="60.75" customHeight="1" thickBot="1">
      <c r="A19" s="219"/>
      <c r="B19" s="77"/>
      <c r="C19" s="73" t="s">
        <v>180</v>
      </c>
      <c r="D19" s="225"/>
      <c r="E19" s="64"/>
    </row>
    <row r="20" spans="1:5" ht="90" customHeight="1">
      <c r="A20" s="78" t="s">
        <v>192</v>
      </c>
      <c r="B20" s="79"/>
      <c r="C20" s="80" t="s">
        <v>193</v>
      </c>
      <c r="D20" s="81">
        <f>B20*1000*'Guidance and Sources (84)'!D20</f>
        <v>0</v>
      </c>
      <c r="E20" s="64"/>
    </row>
    <row r="21" spans="1:5" ht="102" customHeight="1">
      <c r="A21" s="74" t="s">
        <v>194</v>
      </c>
      <c r="B21" s="226"/>
      <c r="C21" s="227" t="s">
        <v>195</v>
      </c>
      <c r="D21" s="68">
        <f>B21*('Guidance and Sources (84)'!D7+'Guidance and Sources (84)'!D8)*365*'Guidance and Sources (84)'!C62</f>
        <v>0</v>
      </c>
      <c r="E21" s="64"/>
    </row>
    <row r="22" spans="1:5" ht="76.5" customHeight="1">
      <c r="A22" s="74" t="s">
        <v>196</v>
      </c>
      <c r="B22" s="226"/>
      <c r="C22" s="227"/>
      <c r="D22" s="68">
        <f>B21*'Guidance and Sources (84)'!D23</f>
        <v>0</v>
      </c>
      <c r="E22" s="64"/>
    </row>
    <row r="23" spans="1:5" ht="75" customHeight="1">
      <c r="A23" s="219" t="s">
        <v>197</v>
      </c>
      <c r="B23" s="82"/>
      <c r="C23" s="75" t="s">
        <v>198</v>
      </c>
      <c r="D23" s="220">
        <f>B23*B24*25*1000*'Guidance and Sources (84)'!C62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 (84)'!D19+'Guidance and Sources (84)'!H19)</f>
        <v>16867.615098873961</v>
      </c>
      <c r="E27" s="64"/>
    </row>
    <row r="28" spans="1:5" ht="75" customHeight="1">
      <c r="A28" s="221" t="s">
        <v>203</v>
      </c>
      <c r="B28" s="66">
        <v>5</v>
      </c>
      <c r="C28" s="75" t="s">
        <v>204</v>
      </c>
      <c r="D28" s="222">
        <f>(B28*(('Guidance and Sources (84)'!D12*'Guidance and Sources (84)'!C62)+('Guidance and Sources (84)'!H12*'Guidance and Sources (84)'!C63)))+(B29*(('Guidance and Sources (84)'!D13*'Guidance and Sources (84)'!C62)+('Guidance and Sources (84)'!H13*'Guidance and Sources (84)'!C63)))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 (84)'!D26*'Guidance and Sources (84)'!C64)+'Guidance and Sources (84)'!H26)</f>
        <v>0</v>
      </c>
      <c r="E30" s="64"/>
    </row>
    <row r="31" spans="1:5" ht="60" customHeight="1">
      <c r="A31" s="221"/>
      <c r="B31" s="87"/>
      <c r="C31" s="88" t="s">
        <v>180</v>
      </c>
      <c r="D31" s="223"/>
      <c r="E31" s="64"/>
    </row>
    <row r="32" spans="1:5" ht="195" customHeight="1" thickBot="1">
      <c r="A32" s="215" t="s">
        <v>208</v>
      </c>
      <c r="B32" s="89">
        <v>10</v>
      </c>
      <c r="C32" s="90" t="s">
        <v>209</v>
      </c>
      <c r="D32" s="91">
        <f>B32*(('Guidance and Sources (84)'!D27*'Guidance and Sources (84)'!C62*1000000)+'Guidance and Sources (84)'!H27)</f>
        <v>9461.3520000000008</v>
      </c>
      <c r="E32" s="92"/>
    </row>
    <row r="33" spans="1:7" ht="29.25" thickBot="1">
      <c r="A33" s="215"/>
      <c r="B33" s="93">
        <v>5</v>
      </c>
      <c r="C33" s="94" t="s">
        <v>210</v>
      </c>
      <c r="D33" s="216">
        <f>B33*B34*(('Guidance and Sources (84)'!D28*'Guidance and Sources (84)'!C62)+'Guidance and Sources (84)'!H28)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40747.483864287846</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yP182I8Vf0Dld0WNDSTK34Z27AjSAaTyhari9kw7BI1moh+VH3W8yew9ydMjfxloRtOFj8+vaUonlTHKN5KEFA==" saltValue="OlQaREpJuRCMsatL79ibYQ=="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workbookViewId="0">
      <selection activeCell="C64" sqref="C64"/>
    </sheetView>
  </sheetViews>
  <sheetFormatPr defaultRowHeight="14.25"/>
  <cols>
    <col min="1" max="1" width="14" customWidth="1"/>
    <col min="2" max="12" width="17.625" customWidth="1"/>
    <col min="13" max="1024" width="8.5" customWidth="1"/>
  </cols>
  <sheetData>
    <row r="1" spans="1:12" ht="15.75">
      <c r="A1" t="s">
        <v>25</v>
      </c>
      <c r="B1" s="14" t="s">
        <v>26</v>
      </c>
    </row>
    <row r="2" spans="1:12">
      <c r="A2" s="15" t="s">
        <v>27</v>
      </c>
      <c r="B2" s="16" t="s">
        <v>28</v>
      </c>
      <c r="C2" s="16" t="s">
        <v>29</v>
      </c>
      <c r="D2" s="16" t="s">
        <v>30</v>
      </c>
      <c r="E2" s="16" t="s">
        <v>31</v>
      </c>
      <c r="F2" s="16" t="s">
        <v>32</v>
      </c>
      <c r="G2" s="16" t="s">
        <v>33</v>
      </c>
      <c r="H2" s="16" t="s">
        <v>34</v>
      </c>
      <c r="I2" s="16" t="s">
        <v>35</v>
      </c>
      <c r="J2" s="16" t="s">
        <v>36</v>
      </c>
      <c r="K2" s="16" t="s">
        <v>37</v>
      </c>
      <c r="L2" s="16"/>
    </row>
    <row r="3" spans="1:12" ht="89.25">
      <c r="A3" s="17" t="s">
        <v>38</v>
      </c>
      <c r="B3" s="18" t="s">
        <v>39</v>
      </c>
      <c r="C3" s="18" t="s">
        <v>40</v>
      </c>
      <c r="D3" s="18" t="s">
        <v>41</v>
      </c>
      <c r="E3" s="18" t="s">
        <v>42</v>
      </c>
      <c r="F3" s="18" t="s">
        <v>43</v>
      </c>
      <c r="G3" s="18" t="s">
        <v>44</v>
      </c>
      <c r="H3" s="18" t="s">
        <v>45</v>
      </c>
      <c r="I3" s="18" t="s">
        <v>46</v>
      </c>
      <c r="J3" s="18" t="s">
        <v>47</v>
      </c>
      <c r="K3" s="18" t="s">
        <v>48</v>
      </c>
      <c r="L3" s="18"/>
    </row>
    <row r="4" spans="1:12" hidden="1">
      <c r="A4" s="19">
        <v>24653</v>
      </c>
      <c r="C4">
        <v>257</v>
      </c>
      <c r="G4">
        <v>77130</v>
      </c>
      <c r="H4">
        <v>28154</v>
      </c>
    </row>
    <row r="5" spans="1:12" hidden="1">
      <c r="A5" s="19">
        <v>25019</v>
      </c>
      <c r="C5">
        <v>310</v>
      </c>
      <c r="G5">
        <v>79015</v>
      </c>
      <c r="H5">
        <v>30419</v>
      </c>
    </row>
    <row r="6" spans="1:12" hidden="1">
      <c r="A6" s="19">
        <v>25384</v>
      </c>
      <c r="C6">
        <v>381</v>
      </c>
      <c r="G6">
        <v>84406</v>
      </c>
      <c r="H6">
        <v>34674</v>
      </c>
    </row>
    <row r="7" spans="1:12" hidden="1">
      <c r="A7" s="19">
        <v>25749</v>
      </c>
      <c r="C7">
        <v>319</v>
      </c>
      <c r="G7">
        <v>86811</v>
      </c>
      <c r="H7">
        <v>37529</v>
      </c>
    </row>
    <row r="8" spans="1:12" hidden="1">
      <c r="A8" s="19">
        <v>26114</v>
      </c>
      <c r="C8">
        <v>451</v>
      </c>
      <c r="G8">
        <v>87617</v>
      </c>
      <c r="H8">
        <v>40988</v>
      </c>
    </row>
    <row r="9" spans="1:12" hidden="1">
      <c r="A9" s="19">
        <v>26480</v>
      </c>
      <c r="C9">
        <v>67</v>
      </c>
      <c r="G9">
        <v>89042</v>
      </c>
      <c r="H9">
        <v>43950</v>
      </c>
    </row>
    <row r="10" spans="1:12" hidden="1">
      <c r="A10" s="19">
        <v>26845</v>
      </c>
      <c r="C10">
        <v>474</v>
      </c>
      <c r="G10">
        <v>86670</v>
      </c>
      <c r="H10">
        <v>42953</v>
      </c>
    </row>
    <row r="11" spans="1:12" hidden="1">
      <c r="A11" s="19">
        <v>27210</v>
      </c>
      <c r="C11">
        <v>392</v>
      </c>
      <c r="G11">
        <v>82999</v>
      </c>
      <c r="H11">
        <v>43080</v>
      </c>
    </row>
    <row r="12" spans="1:12" hidden="1">
      <c r="A12" s="19">
        <v>27575</v>
      </c>
      <c r="C12">
        <v>277</v>
      </c>
      <c r="G12">
        <v>82380</v>
      </c>
      <c r="H12">
        <v>37466</v>
      </c>
    </row>
    <row r="13" spans="1:12" hidden="1">
      <c r="A13" s="19">
        <v>27941</v>
      </c>
      <c r="C13">
        <v>415</v>
      </c>
      <c r="G13">
        <v>87408</v>
      </c>
      <c r="H13">
        <v>42422</v>
      </c>
    </row>
    <row r="14" spans="1:12" hidden="1">
      <c r="A14" s="19">
        <v>28306</v>
      </c>
      <c r="C14">
        <v>342</v>
      </c>
      <c r="G14">
        <v>77575</v>
      </c>
      <c r="H14">
        <v>40532</v>
      </c>
    </row>
    <row r="15" spans="1:12" hidden="1">
      <c r="A15" s="19">
        <v>28671</v>
      </c>
      <c r="C15">
        <v>889</v>
      </c>
      <c r="G15">
        <v>83391</v>
      </c>
      <c r="H15">
        <v>39821</v>
      </c>
    </row>
    <row r="16" spans="1:12" hidden="1">
      <c r="A16" s="19">
        <v>29036</v>
      </c>
      <c r="C16">
        <v>2488</v>
      </c>
      <c r="G16">
        <v>82784</v>
      </c>
      <c r="H16">
        <v>47326</v>
      </c>
    </row>
    <row r="17" spans="1:10" hidden="1">
      <c r="A17" s="19">
        <v>29402</v>
      </c>
      <c r="C17">
        <v>0</v>
      </c>
      <c r="G17">
        <v>68080</v>
      </c>
      <c r="H17">
        <v>28576</v>
      </c>
    </row>
    <row r="18" spans="1:10" hidden="1">
      <c r="A18" s="19">
        <v>29767</v>
      </c>
      <c r="C18">
        <v>0</v>
      </c>
      <c r="G18">
        <v>70423</v>
      </c>
      <c r="H18">
        <v>32055</v>
      </c>
    </row>
    <row r="19" spans="1:10" hidden="1">
      <c r="A19" s="19">
        <v>30132</v>
      </c>
      <c r="C19">
        <v>1</v>
      </c>
      <c r="G19">
        <v>67500</v>
      </c>
      <c r="H19">
        <v>30871</v>
      </c>
    </row>
    <row r="20" spans="1:10" hidden="1">
      <c r="A20" s="19">
        <v>30497</v>
      </c>
      <c r="C20">
        <v>1</v>
      </c>
      <c r="D20">
        <v>1</v>
      </c>
      <c r="G20">
        <v>64716</v>
      </c>
      <c r="H20">
        <v>30758</v>
      </c>
    </row>
    <row r="21" spans="1:10" hidden="1">
      <c r="A21" s="19">
        <v>30863</v>
      </c>
      <c r="C21">
        <v>2</v>
      </c>
      <c r="D21">
        <v>2</v>
      </c>
      <c r="G21">
        <v>73012</v>
      </c>
      <c r="H21">
        <v>25299</v>
      </c>
    </row>
    <row r="22" spans="1:10" hidden="1">
      <c r="A22" s="19">
        <v>31228</v>
      </c>
      <c r="C22">
        <v>1</v>
      </c>
      <c r="D22">
        <v>1</v>
      </c>
      <c r="G22">
        <v>68399</v>
      </c>
      <c r="H22">
        <v>24134</v>
      </c>
    </row>
    <row r="23" spans="1:10" hidden="1">
      <c r="A23" s="19">
        <v>31593</v>
      </c>
      <c r="C23">
        <v>1</v>
      </c>
      <c r="D23">
        <v>1</v>
      </c>
      <c r="G23">
        <v>71896</v>
      </c>
      <c r="H23">
        <v>23816</v>
      </c>
    </row>
    <row r="24" spans="1:10" hidden="1">
      <c r="A24" s="19">
        <v>31958</v>
      </c>
      <c r="C24">
        <v>2</v>
      </c>
      <c r="D24">
        <v>2</v>
      </c>
      <c r="G24">
        <v>70670</v>
      </c>
      <c r="H24">
        <v>25544</v>
      </c>
    </row>
    <row r="25" spans="1:10" hidden="1">
      <c r="A25" s="19">
        <v>32324</v>
      </c>
      <c r="C25">
        <v>1</v>
      </c>
      <c r="D25">
        <v>1</v>
      </c>
      <c r="G25">
        <v>74918</v>
      </c>
      <c r="H25">
        <v>25879</v>
      </c>
      <c r="J25">
        <v>0</v>
      </c>
    </row>
    <row r="26" spans="1:10" hidden="1">
      <c r="A26" s="19">
        <v>32689</v>
      </c>
      <c r="C26">
        <v>1</v>
      </c>
      <c r="D26">
        <v>1</v>
      </c>
      <c r="G26">
        <v>75138</v>
      </c>
      <c r="H26">
        <v>26920</v>
      </c>
      <c r="J26">
        <v>0</v>
      </c>
    </row>
    <row r="27" spans="1:10" hidden="1">
      <c r="A27" s="19">
        <v>33054</v>
      </c>
      <c r="C27">
        <v>1</v>
      </c>
      <c r="D27">
        <v>1</v>
      </c>
      <c r="G27">
        <v>66428</v>
      </c>
      <c r="H27">
        <v>24051</v>
      </c>
      <c r="J27">
        <v>0</v>
      </c>
    </row>
    <row r="28" spans="1:10" hidden="1">
      <c r="A28" s="19">
        <v>33419</v>
      </c>
      <c r="C28">
        <v>0</v>
      </c>
      <c r="D28">
        <v>0</v>
      </c>
      <c r="G28">
        <v>69235</v>
      </c>
      <c r="H28">
        <v>38117</v>
      </c>
      <c r="J28">
        <v>0</v>
      </c>
    </row>
    <row r="29" spans="1:10" hidden="1">
      <c r="A29" s="19">
        <v>33785</v>
      </c>
      <c r="C29">
        <v>0</v>
      </c>
      <c r="D29">
        <v>0</v>
      </c>
      <c r="G29">
        <v>75122</v>
      </c>
      <c r="H29">
        <v>42464</v>
      </c>
      <c r="J29">
        <v>0</v>
      </c>
    </row>
    <row r="30" spans="1:10" hidden="1">
      <c r="A30" s="19">
        <v>34150</v>
      </c>
      <c r="C30">
        <v>1</v>
      </c>
      <c r="D30">
        <v>1</v>
      </c>
      <c r="G30">
        <v>76871</v>
      </c>
      <c r="H30">
        <v>43635</v>
      </c>
      <c r="J30">
        <v>19</v>
      </c>
    </row>
    <row r="31" spans="1:10" hidden="1">
      <c r="A31" s="19">
        <v>34515</v>
      </c>
      <c r="C31">
        <v>1</v>
      </c>
      <c r="D31">
        <v>1</v>
      </c>
      <c r="G31">
        <v>76688</v>
      </c>
      <c r="H31">
        <v>44136</v>
      </c>
      <c r="J31">
        <v>25</v>
      </c>
    </row>
    <row r="32" spans="1:10" hidden="1">
      <c r="A32" s="19">
        <v>34880</v>
      </c>
      <c r="C32">
        <v>1</v>
      </c>
      <c r="D32">
        <v>1</v>
      </c>
      <c r="G32">
        <v>76552</v>
      </c>
      <c r="H32">
        <v>46874</v>
      </c>
      <c r="J32">
        <v>50</v>
      </c>
    </row>
    <row r="33" spans="1:11" hidden="1">
      <c r="A33" s="19">
        <v>35246</v>
      </c>
      <c r="C33">
        <v>3</v>
      </c>
      <c r="D33">
        <v>3</v>
      </c>
      <c r="G33">
        <v>85533</v>
      </c>
      <c r="H33">
        <v>45842</v>
      </c>
      <c r="J33">
        <v>49</v>
      </c>
    </row>
    <row r="34" spans="1:11" hidden="1">
      <c r="A34" s="19">
        <v>35611</v>
      </c>
      <c r="B34">
        <v>212017</v>
      </c>
      <c r="C34">
        <v>3</v>
      </c>
      <c r="D34">
        <v>3</v>
      </c>
      <c r="E34">
        <v>3124</v>
      </c>
      <c r="F34">
        <v>208890</v>
      </c>
      <c r="G34">
        <v>77500</v>
      </c>
      <c r="H34">
        <v>49802</v>
      </c>
      <c r="I34">
        <v>65954</v>
      </c>
      <c r="J34">
        <v>111</v>
      </c>
      <c r="K34">
        <v>15524</v>
      </c>
    </row>
    <row r="35" spans="1:11" hidden="1">
      <c r="A35" s="19">
        <v>35976</v>
      </c>
      <c r="B35">
        <v>188552</v>
      </c>
      <c r="C35">
        <v>1</v>
      </c>
      <c r="D35">
        <v>1</v>
      </c>
      <c r="E35">
        <v>2968</v>
      </c>
      <c r="F35">
        <v>185583</v>
      </c>
      <c r="G35">
        <v>68057</v>
      </c>
      <c r="H35">
        <v>57370</v>
      </c>
      <c r="I35">
        <v>38531</v>
      </c>
      <c r="J35">
        <v>109</v>
      </c>
      <c r="K35">
        <v>21515</v>
      </c>
    </row>
    <row r="36" spans="1:11" hidden="1">
      <c r="A36" s="19">
        <v>36341</v>
      </c>
      <c r="B36">
        <v>196350</v>
      </c>
      <c r="D36">
        <v>1</v>
      </c>
      <c r="E36">
        <v>3207</v>
      </c>
      <c r="F36">
        <v>193142</v>
      </c>
      <c r="G36">
        <v>74848</v>
      </c>
      <c r="H36">
        <v>58103</v>
      </c>
      <c r="I36">
        <v>37213</v>
      </c>
      <c r="J36">
        <v>137</v>
      </c>
      <c r="K36">
        <v>22842</v>
      </c>
    </row>
    <row r="37" spans="1:11" hidden="1">
      <c r="A37" s="19">
        <v>36707</v>
      </c>
      <c r="B37">
        <v>212133</v>
      </c>
      <c r="D37">
        <v>0</v>
      </c>
      <c r="E37">
        <v>3239</v>
      </c>
      <c r="F37">
        <v>208894</v>
      </c>
      <c r="G37">
        <v>84082</v>
      </c>
      <c r="H37">
        <v>55669</v>
      </c>
      <c r="I37">
        <v>40067</v>
      </c>
      <c r="J37">
        <v>149</v>
      </c>
      <c r="K37">
        <v>28926</v>
      </c>
    </row>
    <row r="38" spans="1:11" hidden="1">
      <c r="A38" s="19">
        <v>37072</v>
      </c>
      <c r="B38">
        <v>178376</v>
      </c>
      <c r="D38">
        <v>0</v>
      </c>
      <c r="E38">
        <v>2765</v>
      </c>
      <c r="F38">
        <v>175611</v>
      </c>
      <c r="G38">
        <v>70691</v>
      </c>
      <c r="H38">
        <v>59802</v>
      </c>
      <c r="I38">
        <v>27412</v>
      </c>
      <c r="J38">
        <v>186</v>
      </c>
      <c r="K38">
        <v>17520</v>
      </c>
    </row>
    <row r="39" spans="1:11" hidden="1">
      <c r="A39" s="19">
        <v>37437</v>
      </c>
      <c r="B39">
        <v>196276</v>
      </c>
      <c r="D39">
        <v>0</v>
      </c>
      <c r="E39">
        <v>2511</v>
      </c>
      <c r="F39">
        <v>193766</v>
      </c>
      <c r="G39">
        <v>80122</v>
      </c>
      <c r="H39">
        <v>63999</v>
      </c>
      <c r="I39">
        <v>27183</v>
      </c>
      <c r="J39">
        <v>189</v>
      </c>
      <c r="K39">
        <v>22273</v>
      </c>
    </row>
    <row r="40" spans="1:11" hidden="1">
      <c r="A40" s="19">
        <v>37802</v>
      </c>
      <c r="B40">
        <v>197024</v>
      </c>
      <c r="D40">
        <v>0</v>
      </c>
      <c r="E40">
        <v>2743</v>
      </c>
      <c r="F40">
        <v>194280</v>
      </c>
      <c r="G40">
        <v>90669</v>
      </c>
      <c r="H40">
        <v>70557</v>
      </c>
      <c r="I40">
        <v>21829</v>
      </c>
      <c r="J40">
        <v>231</v>
      </c>
      <c r="K40">
        <v>10995</v>
      </c>
    </row>
    <row r="41" spans="1:11" hidden="1">
      <c r="A41" s="19">
        <v>38168</v>
      </c>
      <c r="B41">
        <v>194725</v>
      </c>
      <c r="D41">
        <v>0</v>
      </c>
      <c r="E41">
        <v>2483</v>
      </c>
      <c r="F41">
        <v>192242</v>
      </c>
      <c r="G41">
        <v>86382</v>
      </c>
      <c r="H41">
        <v>70195</v>
      </c>
      <c r="I41">
        <v>23360</v>
      </c>
      <c r="J41">
        <v>259</v>
      </c>
      <c r="K41">
        <v>12045</v>
      </c>
    </row>
    <row r="42" spans="1:11" hidden="1">
      <c r="A42" s="19">
        <v>38533</v>
      </c>
      <c r="B42">
        <v>202509</v>
      </c>
      <c r="D42">
        <v>0</v>
      </c>
      <c r="E42">
        <v>2173</v>
      </c>
      <c r="F42">
        <v>200336</v>
      </c>
      <c r="G42">
        <v>85768</v>
      </c>
      <c r="H42">
        <v>69718</v>
      </c>
      <c r="I42">
        <v>23772</v>
      </c>
      <c r="J42">
        <v>600</v>
      </c>
      <c r="K42">
        <v>20478</v>
      </c>
    </row>
    <row r="43" spans="1:11">
      <c r="A43" s="19">
        <v>38898</v>
      </c>
      <c r="B43">
        <v>182294</v>
      </c>
      <c r="D43">
        <v>0</v>
      </c>
      <c r="E43">
        <v>2346</v>
      </c>
      <c r="F43">
        <v>179949</v>
      </c>
      <c r="G43">
        <v>71345</v>
      </c>
      <c r="H43">
        <v>62868</v>
      </c>
      <c r="I43">
        <v>23015</v>
      </c>
      <c r="J43">
        <v>890</v>
      </c>
      <c r="K43">
        <v>21830</v>
      </c>
    </row>
    <row r="44" spans="1:11">
      <c r="A44" s="19">
        <v>39263</v>
      </c>
      <c r="B44">
        <v>201053</v>
      </c>
      <c r="D44">
        <v>0</v>
      </c>
      <c r="E44">
        <v>2339</v>
      </c>
      <c r="F44">
        <v>198715</v>
      </c>
      <c r="G44">
        <v>83457</v>
      </c>
      <c r="H44">
        <v>70852</v>
      </c>
      <c r="I44">
        <v>20413</v>
      </c>
      <c r="J44">
        <v>914</v>
      </c>
      <c r="K44">
        <v>23079</v>
      </c>
    </row>
    <row r="45" spans="1:11">
      <c r="A45" s="19">
        <v>39629</v>
      </c>
      <c r="B45">
        <v>196067</v>
      </c>
      <c r="D45">
        <v>0</v>
      </c>
      <c r="E45">
        <v>2454</v>
      </c>
      <c r="F45">
        <v>193613</v>
      </c>
      <c r="G45">
        <v>81180</v>
      </c>
      <c r="H45">
        <v>70411</v>
      </c>
      <c r="I45">
        <v>21153</v>
      </c>
      <c r="J45">
        <v>961</v>
      </c>
      <c r="K45">
        <v>19910</v>
      </c>
    </row>
    <row r="46" spans="1:11">
      <c r="A46" s="19">
        <v>39994</v>
      </c>
      <c r="B46">
        <v>196510</v>
      </c>
      <c r="D46">
        <v>0</v>
      </c>
      <c r="E46">
        <v>2521</v>
      </c>
      <c r="F46">
        <v>193988</v>
      </c>
      <c r="G46">
        <v>82699</v>
      </c>
      <c r="H46">
        <v>69119</v>
      </c>
      <c r="I46">
        <v>23926</v>
      </c>
      <c r="J46">
        <v>206</v>
      </c>
      <c r="K46">
        <v>18039</v>
      </c>
    </row>
    <row r="47" spans="1:11">
      <c r="A47" s="19">
        <v>40359</v>
      </c>
      <c r="B47">
        <v>212020</v>
      </c>
      <c r="D47">
        <v>0</v>
      </c>
      <c r="E47">
        <v>6332</v>
      </c>
      <c r="F47">
        <v>205688</v>
      </c>
      <c r="G47">
        <v>83830</v>
      </c>
      <c r="H47">
        <v>67555</v>
      </c>
      <c r="I47">
        <v>23371</v>
      </c>
      <c r="J47">
        <v>203</v>
      </c>
      <c r="K47">
        <v>30728</v>
      </c>
    </row>
    <row r="48" spans="1:11">
      <c r="A48" s="19">
        <v>40724</v>
      </c>
      <c r="B48">
        <v>193986</v>
      </c>
      <c r="D48">
        <v>0</v>
      </c>
      <c r="E48">
        <v>6065</v>
      </c>
      <c r="F48">
        <v>187921</v>
      </c>
      <c r="G48">
        <v>77838</v>
      </c>
      <c r="H48">
        <v>67505</v>
      </c>
      <c r="I48">
        <v>21220</v>
      </c>
      <c r="J48">
        <v>222</v>
      </c>
      <c r="K48">
        <v>21136</v>
      </c>
    </row>
    <row r="49" spans="1:11">
      <c r="A49" s="19">
        <v>41090</v>
      </c>
      <c r="B49">
        <v>208946</v>
      </c>
      <c r="D49">
        <v>0</v>
      </c>
      <c r="E49">
        <v>7397</v>
      </c>
      <c r="F49">
        <v>201550</v>
      </c>
      <c r="G49">
        <v>70346</v>
      </c>
      <c r="H49">
        <v>64146</v>
      </c>
      <c r="I49">
        <v>17626</v>
      </c>
      <c r="J49">
        <v>221</v>
      </c>
      <c r="K49">
        <v>49211</v>
      </c>
    </row>
    <row r="50" spans="1:11">
      <c r="A50" s="19">
        <v>41455</v>
      </c>
      <c r="B50">
        <v>197356</v>
      </c>
      <c r="D50">
        <v>0</v>
      </c>
      <c r="E50">
        <v>4125</v>
      </c>
      <c r="F50">
        <v>193232</v>
      </c>
      <c r="G50">
        <v>83341</v>
      </c>
      <c r="H50">
        <v>71145</v>
      </c>
      <c r="I50">
        <v>13989</v>
      </c>
      <c r="J50">
        <v>201</v>
      </c>
      <c r="K50">
        <v>24556</v>
      </c>
    </row>
    <row r="51" spans="1:11">
      <c r="A51" s="19">
        <v>41820</v>
      </c>
      <c r="B51">
        <v>207103</v>
      </c>
      <c r="D51">
        <v>0</v>
      </c>
      <c r="E51">
        <v>6345</v>
      </c>
      <c r="F51">
        <v>200758</v>
      </c>
      <c r="G51">
        <v>90542</v>
      </c>
      <c r="H51">
        <v>74843</v>
      </c>
      <c r="I51">
        <v>14734</v>
      </c>
      <c r="J51">
        <v>235</v>
      </c>
      <c r="K51">
        <v>20403</v>
      </c>
    </row>
    <row r="52" spans="1:11">
      <c r="A52" s="19">
        <v>42185</v>
      </c>
      <c r="B52">
        <v>215005</v>
      </c>
      <c r="E52">
        <v>7190</v>
      </c>
      <c r="F52">
        <v>207816</v>
      </c>
      <c r="G52">
        <v>82858</v>
      </c>
      <c r="H52">
        <v>70199</v>
      </c>
      <c r="I52">
        <v>14765</v>
      </c>
      <c r="J52">
        <v>224</v>
      </c>
      <c r="K52">
        <v>39770</v>
      </c>
    </row>
    <row r="53" spans="1:11">
      <c r="A53" s="19">
        <v>42551</v>
      </c>
      <c r="B53">
        <v>219024</v>
      </c>
      <c r="E53">
        <v>7438</v>
      </c>
      <c r="F53">
        <v>211245</v>
      </c>
      <c r="G53">
        <v>76047</v>
      </c>
      <c r="H53">
        <v>70500</v>
      </c>
      <c r="I53">
        <v>15400</v>
      </c>
      <c r="J53">
        <v>239</v>
      </c>
      <c r="K53">
        <v>49059</v>
      </c>
    </row>
    <row r="54" spans="1:11">
      <c r="A54" s="19">
        <v>42916</v>
      </c>
      <c r="B54">
        <v>222877</v>
      </c>
      <c r="G54">
        <v>75098</v>
      </c>
      <c r="I54">
        <v>15665</v>
      </c>
      <c r="J54">
        <v>265</v>
      </c>
      <c r="K54">
        <v>51303</v>
      </c>
    </row>
    <row r="57" spans="1:11">
      <c r="G57" s="3" t="s">
        <v>49</v>
      </c>
    </row>
    <row r="58" spans="1:11" ht="36.200000000000003" customHeight="1">
      <c r="G58" s="209" t="s">
        <v>50</v>
      </c>
      <c r="H58" s="209"/>
    </row>
    <row r="59" spans="1:11" ht="36.200000000000003" customHeight="1">
      <c r="B59" s="20" t="s">
        <v>51</v>
      </c>
      <c r="C59" s="20">
        <v>2.5000000000000001E-2</v>
      </c>
      <c r="G59" s="210" t="s">
        <v>52</v>
      </c>
      <c r="H59" s="210"/>
    </row>
    <row r="60" spans="1:11" ht="36.200000000000003" customHeight="1">
      <c r="B60" s="20" t="s">
        <v>53</v>
      </c>
      <c r="C60" s="20">
        <v>26.3</v>
      </c>
    </row>
    <row r="61" spans="1:11" ht="36.200000000000003" customHeight="1">
      <c r="B61" s="20" t="s">
        <v>54</v>
      </c>
      <c r="C61" s="20">
        <v>28</v>
      </c>
      <c r="G61" s="12" t="s">
        <v>81</v>
      </c>
    </row>
    <row r="62" spans="1:11" ht="36.200000000000003" customHeight="1">
      <c r="B62" s="20" t="s">
        <v>56</v>
      </c>
      <c r="C62" s="21">
        <v>48700</v>
      </c>
      <c r="D62" t="s">
        <v>57</v>
      </c>
      <c r="G62" s="210" t="s">
        <v>58</v>
      </c>
      <c r="H62" s="210"/>
    </row>
    <row r="63" spans="1:11" ht="36.200000000000003" customHeight="1">
      <c r="B63" s="20" t="s">
        <v>59</v>
      </c>
      <c r="C63" s="20">
        <v>0.98</v>
      </c>
      <c r="D63" s="3" t="s">
        <v>60</v>
      </c>
      <c r="G63" s="210" t="s">
        <v>61</v>
      </c>
      <c r="H63" s="210"/>
    </row>
  </sheetData>
  <sheetProtection algorithmName="SHA-512" hashValue="4LJQkNzheVXcc5104IKDN2cuAeexLOEHCYujuVYjIYWGQ2dLPEe4qr/NG+WwTuGZAuVbi01RdmFZsk3y7kxkKg==" saltValue="hkP5wEzEjNUIq4JAcWOpfQ==" spinCount="100000" sheet="1" objects="1" scenarios="1"/>
  <mergeCells count="4">
    <mergeCell ref="G58:H58"/>
    <mergeCell ref="G59:H59"/>
    <mergeCell ref="G62:H62"/>
    <mergeCell ref="G63:H63"/>
  </mergeCells>
  <pageMargins left="0.75000000000000011" right="0.75000000000000011" top="1.3937000000000002" bottom="1.3937000000000002" header="1" footer="1"/>
  <pageSetup paperSize="0" fitToWidth="0" fitToHeight="0" orientation="portrait" horizontalDpi="0" verticalDpi="0" copies="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1"/>
  <sheetViews>
    <sheetView workbookViewId="0">
      <selection activeCell="B9" sqref="B9"/>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4</v>
      </c>
      <c r="C7" s="67" t="s">
        <v>176</v>
      </c>
      <c r="D7" s="68">
        <f>B7*'Guidance and Sources (84)'!D10*1000*'Guidance and Sources (84)'!C62</f>
        <v>14826.800000000001</v>
      </c>
      <c r="E7" s="64"/>
    </row>
    <row r="8" spans="1:5" ht="25.5">
      <c r="A8" s="69" t="s">
        <v>177</v>
      </c>
      <c r="B8" s="70"/>
      <c r="C8" s="70"/>
      <c r="D8" s="71"/>
      <c r="E8" s="64"/>
    </row>
    <row r="9" spans="1:5" ht="55.5" customHeight="1" thickBot="1">
      <c r="A9" s="215" t="s">
        <v>178</v>
      </c>
      <c r="B9" s="66">
        <v>4</v>
      </c>
      <c r="C9" s="67" t="s">
        <v>179</v>
      </c>
      <c r="D9" s="230">
        <f>B9*B10*(('Guidance and Sources (84)'!D25*'Guidance and Sources (84)'!C64)+'Guidance and Sources (84)'!H25)</f>
        <v>6292.8970739736742</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 (84)'!D9*1000*'Guidance and Sources (84)'!C62</f>
        <v>0</v>
      </c>
      <c r="E12" s="64"/>
    </row>
    <row r="13" spans="1:5" ht="105" customHeight="1">
      <c r="A13" s="65" t="s">
        <v>184</v>
      </c>
      <c r="B13" s="66"/>
      <c r="C13" s="67" t="s">
        <v>185</v>
      </c>
      <c r="D13" s="76">
        <f>B13*'Guidance and Sources (84)'!D11*1000*'Guidance and Sources (84)'!C62</f>
        <v>0</v>
      </c>
      <c r="E13" s="64"/>
    </row>
    <row r="14" spans="1:5" ht="105" customHeight="1">
      <c r="A14" s="219" t="s">
        <v>186</v>
      </c>
      <c r="B14" s="66"/>
      <c r="C14" s="75" t="s">
        <v>187</v>
      </c>
      <c r="D14" s="225">
        <f>(B14*'Guidance and Sources (84)'!D15*'Guidance and Sources (84)'!C62)+(B15*'Guidance and Sources (84)'!D16*'Guidance and Sources (84)'!C62)</f>
        <v>0</v>
      </c>
      <c r="E14" s="64"/>
    </row>
    <row r="15" spans="1:5" ht="60" customHeight="1">
      <c r="A15" s="219"/>
      <c r="B15" s="66"/>
      <c r="C15" s="75" t="s">
        <v>188</v>
      </c>
      <c r="D15" s="225"/>
      <c r="E15" s="64"/>
    </row>
    <row r="16" spans="1:5" ht="90" customHeight="1">
      <c r="A16" s="224" t="s">
        <v>189</v>
      </c>
      <c r="B16" s="66"/>
      <c r="C16" s="75" t="s">
        <v>190</v>
      </c>
      <c r="D16" s="225">
        <f>B16*B17*'Guidance and Sources (84)'!D17*'Guidance and Sources (84)'!C62*365</f>
        <v>0</v>
      </c>
      <c r="E16" s="64"/>
    </row>
    <row r="17" spans="1:5" ht="60.75" customHeight="1" thickBot="1">
      <c r="A17" s="224"/>
      <c r="B17" s="77"/>
      <c r="C17" s="73" t="s">
        <v>180</v>
      </c>
      <c r="D17" s="225"/>
      <c r="E17" s="64"/>
    </row>
    <row r="18" spans="1:5" ht="90" customHeight="1">
      <c r="A18" s="219" t="s">
        <v>191</v>
      </c>
      <c r="B18" s="66"/>
      <c r="C18" s="75" t="s">
        <v>190</v>
      </c>
      <c r="D18" s="225">
        <f>B18*B19*'Guidance and Sources (84)'!D22*1000*'Guidance and Sources (84)'!C62</f>
        <v>0</v>
      </c>
      <c r="E18" s="64"/>
    </row>
    <row r="19" spans="1:5" ht="60.75" customHeight="1" thickBot="1">
      <c r="A19" s="219"/>
      <c r="B19" s="77"/>
      <c r="C19" s="73" t="s">
        <v>180</v>
      </c>
      <c r="D19" s="225"/>
      <c r="E19" s="64"/>
    </row>
    <row r="20" spans="1:5" ht="90" customHeight="1">
      <c r="A20" s="78" t="s">
        <v>192</v>
      </c>
      <c r="B20" s="79"/>
      <c r="C20" s="80" t="s">
        <v>193</v>
      </c>
      <c r="D20" s="81">
        <f>B20*1000*'Guidance and Sources (84)'!D20</f>
        <v>0</v>
      </c>
      <c r="E20" s="64"/>
    </row>
    <row r="21" spans="1:5" ht="102" customHeight="1">
      <c r="A21" s="74" t="s">
        <v>194</v>
      </c>
      <c r="B21" s="226"/>
      <c r="C21" s="227" t="s">
        <v>195</v>
      </c>
      <c r="D21" s="68">
        <f>B21*('Guidance and Sources (84)'!D7+'Guidance and Sources (84)'!D8)*365*'Guidance and Sources (84)'!C62</f>
        <v>0</v>
      </c>
      <c r="E21" s="64"/>
    </row>
    <row r="22" spans="1:5" ht="76.5" customHeight="1">
      <c r="A22" s="74" t="s">
        <v>196</v>
      </c>
      <c r="B22" s="226"/>
      <c r="C22" s="227"/>
      <c r="D22" s="68">
        <f>B21*'Guidance and Sources (84)'!D23</f>
        <v>0</v>
      </c>
      <c r="E22" s="64"/>
    </row>
    <row r="23" spans="1:5" ht="75" customHeight="1">
      <c r="A23" s="219" t="s">
        <v>197</v>
      </c>
      <c r="B23" s="82"/>
      <c r="C23" s="75" t="s">
        <v>198</v>
      </c>
      <c r="D23" s="220">
        <f>B23*B24*25*1000*'Guidance and Sources (84)'!C62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 (84)'!D19+'Guidance and Sources (84)'!H19)</f>
        <v>16867.615098873961</v>
      </c>
      <c r="E27" s="64"/>
    </row>
    <row r="28" spans="1:5" ht="75" customHeight="1">
      <c r="A28" s="221" t="s">
        <v>203</v>
      </c>
      <c r="B28" s="66">
        <v>5</v>
      </c>
      <c r="C28" s="75" t="s">
        <v>204</v>
      </c>
      <c r="D28" s="222">
        <f>(B28*(('Guidance and Sources (84)'!D12*'Guidance and Sources (84)'!C62)+('Guidance and Sources (84)'!H12*'Guidance and Sources (84)'!C63)))+(B29*(('Guidance and Sources (84)'!D13*'Guidance and Sources (84)'!C62)+('Guidance and Sources (84)'!H13*'Guidance and Sources (84)'!C63)))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 (84)'!D26*'Guidance and Sources (84)'!C64)+'Guidance and Sources (84)'!H26)</f>
        <v>0</v>
      </c>
      <c r="E30" s="64"/>
    </row>
    <row r="31" spans="1:5" ht="60" customHeight="1">
      <c r="A31" s="221"/>
      <c r="B31" s="87"/>
      <c r="C31" s="88" t="s">
        <v>180</v>
      </c>
      <c r="D31" s="223"/>
      <c r="E31" s="64"/>
    </row>
    <row r="32" spans="1:5" ht="195" customHeight="1" thickBot="1">
      <c r="A32" s="215" t="s">
        <v>208</v>
      </c>
      <c r="B32" s="89">
        <v>10</v>
      </c>
      <c r="C32" s="90" t="s">
        <v>209</v>
      </c>
      <c r="D32" s="91">
        <f>B32*(('Guidance and Sources (84)'!D27*'Guidance and Sources (84)'!C62*1000000)+'Guidance and Sources (84)'!H27)</f>
        <v>9461.3520000000008</v>
      </c>
      <c r="E32" s="92"/>
    </row>
    <row r="33" spans="1:7" ht="29.25" thickBot="1">
      <c r="A33" s="215"/>
      <c r="B33" s="93">
        <v>5</v>
      </c>
      <c r="C33" s="94" t="s">
        <v>210</v>
      </c>
      <c r="D33" s="216">
        <f>B33*B34*(('Guidance and Sources (84)'!D28*'Guidance and Sources (84)'!C62)+'Guidance and Sources (84)'!H28)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51307.332401274689</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KPN4TSlIv9Le4J7tbCC0INvqgs6nNXJ+xU0ossvE5vmZ8pU94D7nDlIww5BbpTQfGK3j2ljWQV8y93pLkmdgoQ==" saltValue="RUG9es3R8S6xAUKBeYsSZQ=="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1"/>
  <sheetViews>
    <sheetView topLeftCell="A31" workbookViewId="0">
      <selection activeCell="D36" sqref="D36"/>
    </sheetView>
  </sheetViews>
  <sheetFormatPr defaultRowHeight="14.25"/>
  <cols>
    <col min="1" max="1" width="36" customWidth="1"/>
    <col min="2" max="2" width="16.25" customWidth="1"/>
    <col min="3" max="3" width="29.75" customWidth="1"/>
    <col min="4" max="4" width="26" customWidth="1"/>
    <col min="5" max="5" width="9" customWidth="1"/>
    <col min="6" max="6" width="8.375" customWidth="1"/>
    <col min="7" max="256" width="8" customWidth="1"/>
    <col min="257" max="257" width="36" customWidth="1"/>
    <col min="258" max="258" width="16.25" customWidth="1"/>
    <col min="259" max="259" width="29.75" customWidth="1"/>
    <col min="260" max="260" width="26" customWidth="1"/>
    <col min="261" max="261" width="9" customWidth="1"/>
    <col min="262" max="262" width="8.375" customWidth="1"/>
    <col min="263" max="512" width="8" customWidth="1"/>
    <col min="513" max="513" width="36" customWidth="1"/>
    <col min="514" max="514" width="16.25" customWidth="1"/>
    <col min="515" max="515" width="29.75" customWidth="1"/>
    <col min="516" max="516" width="26" customWidth="1"/>
    <col min="517" max="517" width="9" customWidth="1"/>
    <col min="518" max="518" width="8.375" customWidth="1"/>
    <col min="519" max="768" width="8" customWidth="1"/>
    <col min="769" max="769" width="36" customWidth="1"/>
    <col min="770" max="770" width="16.25" customWidth="1"/>
    <col min="771" max="771" width="29.75" customWidth="1"/>
    <col min="772" max="772" width="26" customWidth="1"/>
    <col min="773" max="773" width="9" customWidth="1"/>
    <col min="774" max="774" width="8.375" customWidth="1"/>
    <col min="775" max="1024" width="8" customWidth="1"/>
  </cols>
  <sheetData>
    <row r="1" spans="1:5" ht="18">
      <c r="A1" s="57" t="s">
        <v>168</v>
      </c>
      <c r="B1" s="58"/>
      <c r="C1" s="58"/>
      <c r="D1" s="58"/>
      <c r="E1" s="59"/>
    </row>
    <row r="2" spans="1:5" ht="18">
      <c r="A2" s="60">
        <v>40525</v>
      </c>
      <c r="B2" s="58"/>
      <c r="C2" s="58"/>
      <c r="D2" s="58"/>
      <c r="E2" s="61"/>
    </row>
    <row r="3" spans="1:5" ht="12.75" customHeight="1">
      <c r="A3" s="228" t="s">
        <v>169</v>
      </c>
      <c r="B3" s="228"/>
      <c r="C3" s="228"/>
      <c r="D3" s="228"/>
      <c r="E3" s="228"/>
    </row>
    <row r="4" spans="1:5">
      <c r="A4" s="228"/>
      <c r="B4" s="228"/>
      <c r="C4" s="228"/>
      <c r="D4" s="228"/>
      <c r="E4" s="228"/>
    </row>
    <row r="5" spans="1:5" ht="96.75" thickBot="1">
      <c r="A5" s="62" t="s">
        <v>170</v>
      </c>
      <c r="B5" s="62" t="s">
        <v>171</v>
      </c>
      <c r="C5" s="62" t="s">
        <v>172</v>
      </c>
      <c r="D5" s="63" t="s">
        <v>173</v>
      </c>
      <c r="E5" s="61"/>
    </row>
    <row r="6" spans="1:5" ht="15" customHeight="1">
      <c r="A6" s="229" t="s">
        <v>174</v>
      </c>
      <c r="B6" s="229"/>
      <c r="C6" s="229"/>
      <c r="D6" s="229"/>
      <c r="E6" s="64"/>
    </row>
    <row r="7" spans="1:5" ht="105" customHeight="1">
      <c r="A7" s="65" t="s">
        <v>175</v>
      </c>
      <c r="B7" s="66">
        <v>20</v>
      </c>
      <c r="C7" s="67" t="s">
        <v>176</v>
      </c>
      <c r="D7" s="68">
        <f>B7*'Guidance and Sources (84)'!D10*1000*'Guidance and Sources (84)'!C62</f>
        <v>74134</v>
      </c>
      <c r="E7" s="64"/>
    </row>
    <row r="8" spans="1:5" ht="25.5">
      <c r="A8" s="69" t="s">
        <v>177</v>
      </c>
      <c r="B8" s="70"/>
      <c r="C8" s="70"/>
      <c r="D8" s="71"/>
      <c r="E8" s="64"/>
    </row>
    <row r="9" spans="1:5" ht="55.5" customHeight="1" thickBot="1">
      <c r="A9" s="215" t="s">
        <v>178</v>
      </c>
      <c r="B9" s="66">
        <v>20</v>
      </c>
      <c r="C9" s="67" t="s">
        <v>179</v>
      </c>
      <c r="D9" s="230">
        <f>B9*B10*(('Guidance and Sources (84)'!D25*'Guidance and Sources (84)'!C64)+'Guidance and Sources (84)'!H25)</f>
        <v>31464.485369868369</v>
      </c>
      <c r="E9" s="64"/>
    </row>
    <row r="10" spans="1:5" ht="60.75" customHeight="1" thickBot="1">
      <c r="A10" s="215"/>
      <c r="B10" s="72">
        <v>0.9</v>
      </c>
      <c r="C10" s="73" t="s">
        <v>180</v>
      </c>
      <c r="D10" s="230"/>
      <c r="E10" s="64"/>
    </row>
    <row r="11" spans="1:5" ht="15" customHeight="1">
      <c r="A11" s="231" t="s">
        <v>181</v>
      </c>
      <c r="B11" s="231"/>
      <c r="C11" s="231"/>
      <c r="D11" s="231"/>
      <c r="E11" s="64"/>
    </row>
    <row r="12" spans="1:5" ht="105" customHeight="1">
      <c r="A12" s="74" t="s">
        <v>182</v>
      </c>
      <c r="B12" s="66">
        <v>0</v>
      </c>
      <c r="C12" s="75" t="s">
        <v>183</v>
      </c>
      <c r="D12" s="76">
        <f>B12*'Guidance and Sources (84)'!D9*1000*'Guidance and Sources (84)'!C62</f>
        <v>0</v>
      </c>
      <c r="E12" s="64"/>
    </row>
    <row r="13" spans="1:5" ht="105" customHeight="1">
      <c r="A13" s="65" t="s">
        <v>184</v>
      </c>
      <c r="B13" s="66"/>
      <c r="C13" s="67" t="s">
        <v>185</v>
      </c>
      <c r="D13" s="76">
        <f>B13*'Guidance and Sources (84)'!D11*1000*'Guidance and Sources (84)'!C62</f>
        <v>0</v>
      </c>
      <c r="E13" s="64"/>
    </row>
    <row r="14" spans="1:5" ht="105" customHeight="1">
      <c r="A14" s="219" t="s">
        <v>186</v>
      </c>
      <c r="B14" s="66"/>
      <c r="C14" s="75" t="s">
        <v>187</v>
      </c>
      <c r="D14" s="225">
        <f>(B14*'Guidance and Sources (84)'!D15*'Guidance and Sources (84)'!C62)+(B15*'Guidance and Sources (84)'!D16*'Guidance and Sources (84)'!C62)</f>
        <v>0</v>
      </c>
      <c r="E14" s="64"/>
    </row>
    <row r="15" spans="1:5" ht="60" customHeight="1">
      <c r="A15" s="219"/>
      <c r="B15" s="66"/>
      <c r="C15" s="75" t="s">
        <v>188</v>
      </c>
      <c r="D15" s="225"/>
      <c r="E15" s="64"/>
    </row>
    <row r="16" spans="1:5" ht="90" customHeight="1">
      <c r="A16" s="224" t="s">
        <v>189</v>
      </c>
      <c r="B16" s="66"/>
      <c r="C16" s="75" t="s">
        <v>190</v>
      </c>
      <c r="D16" s="225">
        <f>B16*B17*'Guidance and Sources (84)'!D17*'Guidance and Sources (84)'!C62*365</f>
        <v>0</v>
      </c>
      <c r="E16" s="64"/>
    </row>
    <row r="17" spans="1:5" ht="60.75" customHeight="1" thickBot="1">
      <c r="A17" s="224"/>
      <c r="B17" s="77"/>
      <c r="C17" s="73" t="s">
        <v>180</v>
      </c>
      <c r="D17" s="225"/>
      <c r="E17" s="64"/>
    </row>
    <row r="18" spans="1:5" ht="90" customHeight="1">
      <c r="A18" s="219" t="s">
        <v>191</v>
      </c>
      <c r="B18" s="66"/>
      <c r="C18" s="75" t="s">
        <v>190</v>
      </c>
      <c r="D18" s="225">
        <f>B18*B19*'Guidance and Sources (84)'!D22*1000*'Guidance and Sources (84)'!C62</f>
        <v>0</v>
      </c>
      <c r="E18" s="64"/>
    </row>
    <row r="19" spans="1:5" ht="60.75" customHeight="1" thickBot="1">
      <c r="A19" s="219"/>
      <c r="B19" s="77"/>
      <c r="C19" s="73" t="s">
        <v>180</v>
      </c>
      <c r="D19" s="225"/>
      <c r="E19" s="64"/>
    </row>
    <row r="20" spans="1:5" ht="90" customHeight="1">
      <c r="A20" s="78" t="s">
        <v>192</v>
      </c>
      <c r="B20" s="79"/>
      <c r="C20" s="80" t="s">
        <v>193</v>
      </c>
      <c r="D20" s="81">
        <f>B20*1000*'Guidance and Sources (84)'!D20</f>
        <v>0</v>
      </c>
      <c r="E20" s="64"/>
    </row>
    <row r="21" spans="1:5" ht="102" customHeight="1">
      <c r="A21" s="74" t="s">
        <v>194</v>
      </c>
      <c r="B21" s="226"/>
      <c r="C21" s="227" t="s">
        <v>195</v>
      </c>
      <c r="D21" s="68">
        <f>B21*('Guidance and Sources (84)'!D7+'Guidance and Sources (84)'!D8)*365*'Guidance and Sources (84)'!C62</f>
        <v>0</v>
      </c>
      <c r="E21" s="64"/>
    </row>
    <row r="22" spans="1:5" ht="76.5" customHeight="1">
      <c r="A22" s="74" t="s">
        <v>196</v>
      </c>
      <c r="B22" s="226"/>
      <c r="C22" s="227"/>
      <c r="D22" s="68">
        <f>B21*'Guidance and Sources (84)'!D23</f>
        <v>0</v>
      </c>
      <c r="E22" s="64"/>
    </row>
    <row r="23" spans="1:5" ht="75" customHeight="1">
      <c r="A23" s="219" t="s">
        <v>197</v>
      </c>
      <c r="B23" s="82"/>
      <c r="C23" s="75" t="s">
        <v>198</v>
      </c>
      <c r="D23" s="220">
        <f>B23*B24*25*1000*'Guidance and Sources (84)'!C62</f>
        <v>0</v>
      </c>
      <c r="E23" s="64"/>
    </row>
    <row r="24" spans="1:5" ht="63.75" customHeight="1">
      <c r="A24" s="219"/>
      <c r="B24" s="82"/>
      <c r="C24" s="65" t="s">
        <v>199</v>
      </c>
      <c r="D24" s="220"/>
      <c r="E24" s="64"/>
    </row>
    <row r="25" spans="1:5" ht="60.75" customHeight="1" thickBot="1">
      <c r="A25" s="219"/>
      <c r="B25" s="83"/>
      <c r="C25" s="73" t="s">
        <v>180</v>
      </c>
      <c r="D25" s="220"/>
      <c r="E25" s="64"/>
    </row>
    <row r="26" spans="1:5" ht="51" customHeight="1">
      <c r="A26" s="69" t="s">
        <v>200</v>
      </c>
      <c r="B26" s="70">
        <v>0</v>
      </c>
      <c r="C26" s="70"/>
      <c r="D26" s="71"/>
      <c r="E26" s="64"/>
    </row>
    <row r="27" spans="1:5" ht="89.25" customHeight="1">
      <c r="A27" s="84" t="s">
        <v>201</v>
      </c>
      <c r="B27" s="82">
        <v>228.144564</v>
      </c>
      <c r="C27" s="65" t="s">
        <v>202</v>
      </c>
      <c r="D27" s="85">
        <f>B27*('Guidance and Sources (84)'!D19+'Guidance and Sources (84)'!H19)</f>
        <v>16867.615098873961</v>
      </c>
      <c r="E27" s="64"/>
    </row>
    <row r="28" spans="1:5" ht="75" customHeight="1">
      <c r="A28" s="221" t="s">
        <v>203</v>
      </c>
      <c r="B28" s="66">
        <v>5</v>
      </c>
      <c r="C28" s="75" t="s">
        <v>204</v>
      </c>
      <c r="D28" s="222">
        <f>(B28*(('Guidance and Sources (84)'!D12*'Guidance and Sources (84)'!C62)+('Guidance and Sources (84)'!H12*'Guidance and Sources (84)'!C63)))+(B29*(('Guidance and Sources (84)'!D13*'Guidance and Sources (84)'!C62)+('Guidance and Sources (84)'!H13*'Guidance and Sources (84)'!C63)))</f>
        <v>10.930422699999999</v>
      </c>
      <c r="E28" s="64"/>
    </row>
    <row r="29" spans="1:5" ht="105" customHeight="1">
      <c r="A29" s="221"/>
      <c r="B29" s="66"/>
      <c r="C29" s="75" t="s">
        <v>205</v>
      </c>
      <c r="D29" s="222"/>
      <c r="E29" s="64"/>
    </row>
    <row r="30" spans="1:5" ht="55.5" customHeight="1">
      <c r="A30" s="221" t="s">
        <v>206</v>
      </c>
      <c r="B30" s="86">
        <v>5</v>
      </c>
      <c r="C30" s="67" t="s">
        <v>207</v>
      </c>
      <c r="D30" s="223">
        <f>B30*B31*(('Guidance and Sources (84)'!D26*'Guidance and Sources (84)'!C64)+'Guidance and Sources (84)'!H26)</f>
        <v>0</v>
      </c>
      <c r="E30" s="64"/>
    </row>
    <row r="31" spans="1:5" ht="60" customHeight="1">
      <c r="A31" s="221"/>
      <c r="B31" s="87"/>
      <c r="C31" s="88" t="s">
        <v>180</v>
      </c>
      <c r="D31" s="223"/>
      <c r="E31" s="64"/>
    </row>
    <row r="32" spans="1:5" ht="195" customHeight="1" thickBot="1">
      <c r="A32" s="215" t="s">
        <v>208</v>
      </c>
      <c r="B32" s="89">
        <v>10</v>
      </c>
      <c r="C32" s="90" t="s">
        <v>209</v>
      </c>
      <c r="D32" s="91">
        <f>B32*(('Guidance and Sources (84)'!D27*'Guidance and Sources (84)'!C62*1000000)+'Guidance and Sources (84)'!H27)</f>
        <v>9461.3520000000008</v>
      </c>
      <c r="E32" s="92"/>
    </row>
    <row r="33" spans="1:7" ht="29.25" thickBot="1">
      <c r="A33" s="215"/>
      <c r="B33" s="93">
        <v>5</v>
      </c>
      <c r="C33" s="94" t="s">
        <v>210</v>
      </c>
      <c r="D33" s="216">
        <f>B33*B34*(('Guidance and Sources (84)'!D28*'Guidance and Sources (84)'!C62)+'Guidance and Sources (84)'!H28)</f>
        <v>3847.7378057270498</v>
      </c>
      <c r="E33" s="64"/>
    </row>
    <row r="34" spans="1:7" ht="15" thickBot="1">
      <c r="A34" s="215"/>
      <c r="B34" s="95">
        <v>0.5</v>
      </c>
      <c r="C34" s="96" t="s">
        <v>180</v>
      </c>
      <c r="D34" s="216"/>
      <c r="E34" s="64"/>
    </row>
    <row r="35" spans="1:7">
      <c r="A35" s="97"/>
      <c r="B35" s="98"/>
      <c r="C35" s="99"/>
      <c r="D35" s="100"/>
      <c r="E35" s="64"/>
    </row>
    <row r="36" spans="1:7" ht="27">
      <c r="A36" s="101"/>
      <c r="B36" s="98"/>
      <c r="C36" s="102" t="s">
        <v>211</v>
      </c>
      <c r="D36" s="103">
        <f>SUM(D12:D34)+D7+D9</f>
        <v>135786.12069716939</v>
      </c>
      <c r="E36" s="64"/>
    </row>
    <row r="37" spans="1:7">
      <c r="A37" s="101"/>
      <c r="B37" s="104"/>
      <c r="C37" s="105"/>
      <c r="D37" s="106"/>
      <c r="E37" s="64"/>
    </row>
    <row r="38" spans="1:7">
      <c r="A38" s="107" t="s">
        <v>212</v>
      </c>
      <c r="B38" s="108"/>
      <c r="C38" s="108"/>
      <c r="D38" s="108"/>
      <c r="E38" s="64"/>
    </row>
    <row r="39" spans="1:7">
      <c r="A39" s="109"/>
      <c r="B39" s="110"/>
      <c r="C39" s="110"/>
      <c r="D39" s="110"/>
      <c r="E39" s="64"/>
    </row>
    <row r="40" spans="1:7">
      <c r="A40" s="111" t="s">
        <v>213</v>
      </c>
      <c r="B40" s="112"/>
      <c r="C40" s="58"/>
      <c r="D40" s="106"/>
      <c r="E40" s="61"/>
    </row>
    <row r="41" spans="1:7" ht="53.25" customHeight="1">
      <c r="A41" s="217" t="s">
        <v>214</v>
      </c>
      <c r="B41" s="217"/>
      <c r="C41" s="217"/>
      <c r="D41" s="217"/>
      <c r="E41" s="217"/>
    </row>
    <row r="42" spans="1:7" ht="26.25" customHeight="1">
      <c r="A42" s="217" t="s">
        <v>215</v>
      </c>
      <c r="B42" s="217"/>
      <c r="C42" s="217"/>
      <c r="D42" s="217"/>
      <c r="E42" s="217"/>
    </row>
    <row r="43" spans="1:7" ht="39.75" customHeight="1">
      <c r="A43" s="217" t="s">
        <v>216</v>
      </c>
      <c r="B43" s="217"/>
      <c r="C43" s="217"/>
      <c r="D43" s="217"/>
      <c r="E43" s="217"/>
    </row>
    <row r="44" spans="1:7" ht="39.75" customHeight="1">
      <c r="A44" s="218" t="s">
        <v>217</v>
      </c>
      <c r="B44" s="218"/>
      <c r="C44" s="218"/>
      <c r="D44" s="218"/>
      <c r="E44" s="218"/>
    </row>
    <row r="45" spans="1:7">
      <c r="A45" s="109"/>
      <c r="B45" s="110"/>
      <c r="C45" s="113"/>
      <c r="D45" s="114"/>
      <c r="E45" s="64"/>
    </row>
    <row r="46" spans="1:7" ht="12.75" customHeight="1">
      <c r="A46" s="214" t="s">
        <v>218</v>
      </c>
      <c r="B46" s="214"/>
      <c r="C46" s="214"/>
      <c r="D46" s="214"/>
      <c r="E46" s="214"/>
      <c r="G46" s="30"/>
    </row>
    <row r="47" spans="1:7">
      <c r="A47" s="214"/>
      <c r="B47" s="214"/>
      <c r="C47" s="214"/>
      <c r="D47" s="214"/>
      <c r="E47" s="214"/>
      <c r="G47" s="30"/>
    </row>
    <row r="48" spans="1:7">
      <c r="A48" s="214"/>
      <c r="B48" s="214"/>
      <c r="C48" s="214"/>
      <c r="D48" s="214"/>
      <c r="E48" s="214"/>
      <c r="G48" s="30"/>
    </row>
    <row r="49" spans="1:7">
      <c r="A49" s="214"/>
      <c r="B49" s="214"/>
      <c r="C49" s="214"/>
      <c r="D49" s="214"/>
      <c r="E49" s="214"/>
      <c r="G49" s="30"/>
    </row>
    <row r="50" spans="1:7">
      <c r="A50" s="214"/>
      <c r="B50" s="214"/>
      <c r="C50" s="214"/>
      <c r="D50" s="214"/>
      <c r="E50" s="214"/>
      <c r="G50" s="30"/>
    </row>
    <row r="51" spans="1:7">
      <c r="A51" s="214"/>
      <c r="B51" s="214"/>
      <c r="C51" s="214"/>
      <c r="D51" s="214"/>
      <c r="E51" s="214"/>
      <c r="G51" s="30"/>
    </row>
    <row r="52" spans="1:7">
      <c r="A52" s="214"/>
      <c r="B52" s="214"/>
      <c r="C52" s="214"/>
      <c r="D52" s="214"/>
      <c r="E52" s="214"/>
      <c r="G52" s="30"/>
    </row>
    <row r="53" spans="1:7">
      <c r="A53" s="214"/>
      <c r="B53" s="214"/>
      <c r="C53" s="214"/>
      <c r="D53" s="214"/>
      <c r="E53" s="214"/>
      <c r="G53" s="30"/>
    </row>
    <row r="54" spans="1:7">
      <c r="A54" s="214"/>
      <c r="B54" s="214"/>
      <c r="C54" s="214"/>
      <c r="D54" s="214"/>
      <c r="E54" s="214"/>
      <c r="F54" s="30"/>
      <c r="G54" s="30"/>
    </row>
    <row r="55" spans="1:7">
      <c r="A55" s="214"/>
      <c r="B55" s="214"/>
      <c r="C55" s="214"/>
      <c r="D55" s="214"/>
      <c r="E55" s="214"/>
      <c r="F55" s="30"/>
      <c r="G55" s="30"/>
    </row>
    <row r="56" spans="1:7">
      <c r="A56" s="214"/>
      <c r="B56" s="214"/>
      <c r="C56" s="214"/>
      <c r="D56" s="214"/>
      <c r="E56" s="214"/>
      <c r="F56" s="30"/>
      <c r="G56" s="30"/>
    </row>
    <row r="57" spans="1:7">
      <c r="D57" s="22"/>
      <c r="E57" s="22"/>
      <c r="F57" s="30"/>
      <c r="G57" s="30"/>
    </row>
    <row r="58" spans="1:7">
      <c r="D58" s="115"/>
      <c r="E58" s="115"/>
      <c r="F58" s="30"/>
      <c r="G58" s="30"/>
    </row>
    <row r="59" spans="1:7">
      <c r="B59" s="116"/>
      <c r="D59" s="22"/>
      <c r="E59" s="22"/>
      <c r="F59" s="30"/>
      <c r="G59" s="30"/>
    </row>
    <row r="60" spans="1:7">
      <c r="D60" s="22"/>
      <c r="E60" s="22"/>
      <c r="F60" s="30"/>
      <c r="G60" s="30"/>
    </row>
    <row r="61" spans="1:7">
      <c r="D61" s="22"/>
      <c r="E61" s="22"/>
      <c r="F61" s="30"/>
      <c r="G61" s="30"/>
    </row>
    <row r="62" spans="1:7">
      <c r="F62" s="30"/>
      <c r="G62" s="30"/>
    </row>
    <row r="66" spans="1:1">
      <c r="A66" s="116"/>
    </row>
    <row r="69" spans="1:1">
      <c r="A69" s="116"/>
    </row>
    <row r="70" spans="1:1">
      <c r="A70" s="116"/>
    </row>
    <row r="71" spans="1:1">
      <c r="A71" s="116"/>
    </row>
    <row r="72" spans="1:1">
      <c r="A72" s="116"/>
    </row>
    <row r="75" spans="1:1">
      <c r="A75" s="116"/>
    </row>
    <row r="76" spans="1:1">
      <c r="A76" s="116"/>
    </row>
    <row r="77" spans="1:1">
      <c r="A77" s="116"/>
    </row>
    <row r="78" spans="1:1">
      <c r="A78" s="116"/>
    </row>
    <row r="79" spans="1:1">
      <c r="A79" s="116"/>
    </row>
    <row r="80" spans="1:1">
      <c r="A80" s="116"/>
    </row>
    <row r="81" spans="1:1">
      <c r="A81" s="116"/>
    </row>
  </sheetData>
  <sheetProtection algorithmName="SHA-512" hashValue="LqDI3NSroGsfHhpRub750JL1xcvsczBjsjI4rL+NV1VqRW2DzRAqvdLheEK7bI3Azurn9iCKUEJrgNriX2fiFQ==" saltValue="3hj2ctan6QS+WOLuPqihCQ==" spinCount="100000" sheet="1" objects="1" scenarios="1"/>
  <mergeCells count="26">
    <mergeCell ref="A14:A15"/>
    <mergeCell ref="D14:D15"/>
    <mergeCell ref="A3:E4"/>
    <mergeCell ref="A6:D6"/>
    <mergeCell ref="A9:A10"/>
    <mergeCell ref="D9:D10"/>
    <mergeCell ref="A11:D11"/>
    <mergeCell ref="A16:A17"/>
    <mergeCell ref="D16:D17"/>
    <mergeCell ref="A18:A19"/>
    <mergeCell ref="D18:D19"/>
    <mergeCell ref="B21:B22"/>
    <mergeCell ref="C21:C22"/>
    <mergeCell ref="A23:A25"/>
    <mergeCell ref="D23:D25"/>
    <mergeCell ref="A28:A29"/>
    <mergeCell ref="D28:D29"/>
    <mergeCell ref="A30:A31"/>
    <mergeCell ref="D30:D31"/>
    <mergeCell ref="A46:E56"/>
    <mergeCell ref="A32:A34"/>
    <mergeCell ref="D33:D34"/>
    <mergeCell ref="A41:E41"/>
    <mergeCell ref="A42:E42"/>
    <mergeCell ref="A43:E43"/>
    <mergeCell ref="A44:E44"/>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J78"/>
  <sheetViews>
    <sheetView topLeftCell="A40" workbookViewId="0">
      <selection activeCell="C64" sqref="C64"/>
    </sheetView>
  </sheetViews>
  <sheetFormatPr defaultRowHeight="12.75" customHeight="1"/>
  <cols>
    <col min="1" max="1" width="44.875" style="120" customWidth="1"/>
    <col min="2" max="2" width="40.625" style="120" customWidth="1"/>
    <col min="3" max="3" width="34" style="120" customWidth="1"/>
    <col min="4" max="4" width="22.75" style="120" customWidth="1"/>
    <col min="5" max="5" width="20.75" style="120" customWidth="1"/>
    <col min="6" max="6" width="58.375" style="120" customWidth="1"/>
    <col min="7" max="7" width="50.75" style="208" customWidth="1"/>
    <col min="8" max="8" width="20.625" style="120" customWidth="1"/>
    <col min="9" max="9" width="16.25" style="120" customWidth="1"/>
    <col min="10" max="10" width="42.5" style="120" customWidth="1"/>
    <col min="11" max="11" width="50.75" style="120" customWidth="1"/>
    <col min="12" max="256" width="8.5" style="120" customWidth="1"/>
    <col min="257" max="257" width="44.875" style="120" customWidth="1"/>
    <col min="258" max="258" width="40.625" style="120" customWidth="1"/>
    <col min="259" max="259" width="34" style="120" customWidth="1"/>
    <col min="260" max="260" width="22.75" style="120" customWidth="1"/>
    <col min="261" max="261" width="20.75" style="120" customWidth="1"/>
    <col min="262" max="262" width="58.375" style="120" customWidth="1"/>
    <col min="263" max="263" width="50.75" style="120" customWidth="1"/>
    <col min="264" max="264" width="20.625" style="120" customWidth="1"/>
    <col min="265" max="265" width="16.25" style="120" customWidth="1"/>
    <col min="266" max="266" width="42.5" style="120" customWidth="1"/>
    <col min="267" max="267" width="50.75" style="120" customWidth="1"/>
    <col min="268" max="512" width="8.5" style="120" customWidth="1"/>
    <col min="513" max="513" width="44.875" style="120" customWidth="1"/>
    <col min="514" max="514" width="40.625" style="120" customWidth="1"/>
    <col min="515" max="515" width="34" style="120" customWidth="1"/>
    <col min="516" max="516" width="22.75" style="120" customWidth="1"/>
    <col min="517" max="517" width="20.75" style="120" customWidth="1"/>
    <col min="518" max="518" width="58.375" style="120" customWidth="1"/>
    <col min="519" max="519" width="50.75" style="120" customWidth="1"/>
    <col min="520" max="520" width="20.625" style="120" customWidth="1"/>
    <col min="521" max="521" width="16.25" style="120" customWidth="1"/>
    <col min="522" max="522" width="42.5" style="120" customWidth="1"/>
    <col min="523" max="523" width="50.75" style="120" customWidth="1"/>
    <col min="524" max="768" width="8.5" style="120" customWidth="1"/>
    <col min="769" max="769" width="44.875" style="120" customWidth="1"/>
    <col min="770" max="770" width="40.625" style="120" customWidth="1"/>
    <col min="771" max="771" width="34" style="120" customWidth="1"/>
    <col min="772" max="772" width="22.75" style="120" customWidth="1"/>
    <col min="773" max="773" width="20.75" style="120" customWidth="1"/>
    <col min="774" max="774" width="58.375" style="120" customWidth="1"/>
    <col min="775" max="775" width="50.75" style="120" customWidth="1"/>
    <col min="776" max="776" width="20.625" style="120" customWidth="1"/>
    <col min="777" max="777" width="16.25" style="120" customWidth="1"/>
    <col min="778" max="778" width="42.5" style="120" customWidth="1"/>
    <col min="779" max="779" width="50.75" style="120" customWidth="1"/>
    <col min="780" max="1024" width="8.5" style="120" customWidth="1"/>
  </cols>
  <sheetData>
    <row r="1" spans="1:28" ht="18">
      <c r="A1" s="117" t="s">
        <v>219</v>
      </c>
      <c r="B1" s="118"/>
      <c r="C1" s="118"/>
      <c r="D1" s="118"/>
      <c r="E1" s="118"/>
      <c r="F1" s="118"/>
      <c r="G1" s="119"/>
      <c r="H1" s="118"/>
      <c r="I1" s="118"/>
      <c r="J1" s="118"/>
      <c r="K1" s="118"/>
      <c r="L1" s="118"/>
    </row>
    <row r="2" spans="1:28" ht="18">
      <c r="A2" s="121">
        <v>40525</v>
      </c>
      <c r="B2" s="118"/>
      <c r="C2" s="118"/>
      <c r="D2" s="118"/>
      <c r="E2" s="118"/>
      <c r="F2" s="118"/>
      <c r="G2" s="119"/>
      <c r="H2" s="118"/>
      <c r="I2" s="118"/>
      <c r="J2" s="118"/>
      <c r="K2" s="118"/>
      <c r="L2" s="118"/>
    </row>
    <row r="3" spans="1:28" ht="18" customHeight="1">
      <c r="A3" s="232" t="s">
        <v>220</v>
      </c>
      <c r="B3" s="232"/>
      <c r="C3" s="232"/>
      <c r="D3" s="122"/>
      <c r="E3" s="118"/>
      <c r="F3" s="118"/>
      <c r="G3" s="123"/>
      <c r="H3" s="118"/>
      <c r="I3" s="118"/>
      <c r="J3" s="118"/>
      <c r="K3" s="118"/>
      <c r="L3" s="118"/>
    </row>
    <row r="4" spans="1:28" ht="18">
      <c r="A4" s="118"/>
      <c r="B4" s="118"/>
      <c r="C4" s="124"/>
      <c r="D4" s="124"/>
      <c r="E4" s="118"/>
      <c r="F4" s="118"/>
      <c r="G4" s="125"/>
      <c r="H4" s="118"/>
      <c r="I4" s="118"/>
      <c r="J4" s="118"/>
      <c r="K4" s="118"/>
      <c r="L4" s="118"/>
    </row>
    <row r="5" spans="1:28" ht="14.25">
      <c r="A5" s="118"/>
      <c r="B5" s="118"/>
      <c r="C5" s="118"/>
      <c r="D5" s="118"/>
      <c r="E5" s="126"/>
      <c r="F5" s="118"/>
      <c r="G5" s="119"/>
      <c r="H5" s="118"/>
      <c r="I5" s="118"/>
      <c r="J5" s="118"/>
      <c r="K5" s="118"/>
      <c r="L5" s="118"/>
    </row>
    <row r="6" spans="1:28" ht="63" customHeight="1">
      <c r="A6" s="127" t="s">
        <v>221</v>
      </c>
      <c r="B6" s="127" t="s">
        <v>222</v>
      </c>
      <c r="C6" s="127" t="s">
        <v>223</v>
      </c>
      <c r="D6" s="127" t="s">
        <v>224</v>
      </c>
      <c r="E6" s="127" t="s">
        <v>225</v>
      </c>
      <c r="F6" s="127" t="s">
        <v>226</v>
      </c>
      <c r="G6" s="127" t="s">
        <v>227</v>
      </c>
      <c r="H6" s="127" t="s">
        <v>228</v>
      </c>
      <c r="I6" s="127" t="s">
        <v>229</v>
      </c>
      <c r="J6" s="127" t="s">
        <v>230</v>
      </c>
      <c r="K6" s="128" t="s">
        <v>231</v>
      </c>
      <c r="L6" s="118"/>
      <c r="Q6" s="129"/>
      <c r="R6" s="129"/>
      <c r="S6" s="129"/>
      <c r="T6" s="129"/>
      <c r="U6" s="129"/>
      <c r="V6" s="129"/>
      <c r="W6" s="129"/>
      <c r="X6" s="129"/>
      <c r="Y6" s="129"/>
      <c r="Z6" s="129"/>
      <c r="AA6" s="129"/>
      <c r="AB6" s="129"/>
    </row>
    <row r="7" spans="1:28" ht="42.75">
      <c r="A7" s="130" t="s">
        <v>232</v>
      </c>
      <c r="B7" s="131" t="s">
        <v>233</v>
      </c>
      <c r="C7" s="132" t="s">
        <v>234</v>
      </c>
      <c r="D7" s="133">
        <f>345*(433257+395631)/(525000+455015)</f>
        <v>291.79794186823671</v>
      </c>
      <c r="E7" s="134" t="s">
        <v>235</v>
      </c>
      <c r="F7" s="135" t="s">
        <v>236</v>
      </c>
      <c r="G7" s="135" t="s">
        <v>237</v>
      </c>
      <c r="H7" s="136" t="s">
        <v>238</v>
      </c>
      <c r="I7" s="136" t="s">
        <v>238</v>
      </c>
      <c r="J7" s="136" t="s">
        <v>238</v>
      </c>
      <c r="K7" s="136" t="s">
        <v>238</v>
      </c>
      <c r="L7" s="118"/>
    </row>
    <row r="8" spans="1:28" ht="38.25">
      <c r="A8" s="130" t="s">
        <v>239</v>
      </c>
      <c r="B8" s="131" t="s">
        <v>233</v>
      </c>
      <c r="C8" s="132" t="s">
        <v>234</v>
      </c>
      <c r="D8" s="133">
        <f>248*(1579)/(525000+455015)</f>
        <v>0.39957755748636503</v>
      </c>
      <c r="E8" s="134" t="s">
        <v>240</v>
      </c>
      <c r="F8" s="135" t="s">
        <v>241</v>
      </c>
      <c r="G8" s="135" t="s">
        <v>242</v>
      </c>
      <c r="H8" s="136" t="s">
        <v>238</v>
      </c>
      <c r="I8" s="136" t="s">
        <v>238</v>
      </c>
      <c r="J8" s="136" t="s">
        <v>238</v>
      </c>
      <c r="K8" s="136" t="s">
        <v>238</v>
      </c>
      <c r="L8" s="118"/>
    </row>
    <row r="9" spans="1:28" ht="71.25">
      <c r="A9" s="130" t="s">
        <v>243</v>
      </c>
      <c r="B9" s="131" t="s">
        <v>183</v>
      </c>
      <c r="C9" s="132" t="s">
        <v>244</v>
      </c>
      <c r="D9" s="134">
        <v>573</v>
      </c>
      <c r="E9" s="134" t="s">
        <v>245</v>
      </c>
      <c r="F9" s="135" t="s">
        <v>246</v>
      </c>
      <c r="G9" s="135" t="s">
        <v>247</v>
      </c>
      <c r="H9" s="136" t="s">
        <v>238</v>
      </c>
      <c r="I9" s="136" t="s">
        <v>238</v>
      </c>
      <c r="J9" s="136" t="s">
        <v>238</v>
      </c>
      <c r="K9" s="136" t="s">
        <v>238</v>
      </c>
      <c r="L9" s="118"/>
    </row>
    <row r="10" spans="1:28" ht="53.25" customHeight="1">
      <c r="A10" s="137" t="s">
        <v>248</v>
      </c>
      <c r="B10" s="134" t="s">
        <v>249</v>
      </c>
      <c r="C10" s="132" t="s">
        <v>250</v>
      </c>
      <c r="D10" s="138">
        <v>9175</v>
      </c>
      <c r="E10" s="134" t="s">
        <v>251</v>
      </c>
      <c r="F10" s="135" t="s">
        <v>246</v>
      </c>
      <c r="G10" s="135" t="s">
        <v>252</v>
      </c>
      <c r="H10" s="136" t="s">
        <v>238</v>
      </c>
      <c r="I10" s="136" t="s">
        <v>238</v>
      </c>
      <c r="J10" s="136" t="s">
        <v>238</v>
      </c>
      <c r="K10" s="136" t="s">
        <v>238</v>
      </c>
      <c r="L10" s="118"/>
    </row>
    <row r="11" spans="1:28" ht="50.25" customHeight="1">
      <c r="A11" s="137" t="s">
        <v>253</v>
      </c>
      <c r="B11" s="134" t="s">
        <v>185</v>
      </c>
      <c r="C11" s="132" t="s">
        <v>254</v>
      </c>
      <c r="D11" s="138">
        <v>9175</v>
      </c>
      <c r="E11" s="134" t="s">
        <v>255</v>
      </c>
      <c r="F11" s="135" t="s">
        <v>246</v>
      </c>
      <c r="G11" s="135" t="s">
        <v>252</v>
      </c>
      <c r="H11" s="136" t="s">
        <v>238</v>
      </c>
      <c r="I11" s="136" t="s">
        <v>238</v>
      </c>
      <c r="J11" s="136" t="s">
        <v>238</v>
      </c>
      <c r="K11" s="136" t="s">
        <v>238</v>
      </c>
      <c r="L11" s="118"/>
    </row>
    <row r="12" spans="1:28" ht="51" customHeight="1">
      <c r="A12" s="237" t="s">
        <v>256</v>
      </c>
      <c r="B12" s="134" t="s">
        <v>257</v>
      </c>
      <c r="C12" s="134" t="s">
        <v>258</v>
      </c>
      <c r="D12" s="134">
        <v>733</v>
      </c>
      <c r="E12" s="139" t="s">
        <v>259</v>
      </c>
      <c r="F12" s="134" t="s">
        <v>260</v>
      </c>
      <c r="G12" s="134" t="s">
        <v>261</v>
      </c>
      <c r="H12" s="140">
        <f>D12*(0.98/0.02)</f>
        <v>35917</v>
      </c>
      <c r="I12" s="139" t="s">
        <v>262</v>
      </c>
      <c r="J12" s="134" t="s">
        <v>263</v>
      </c>
      <c r="K12" s="134" t="s">
        <v>264</v>
      </c>
      <c r="L12" s="118"/>
    </row>
    <row r="13" spans="1:28" ht="42.75">
      <c r="A13" s="237"/>
      <c r="B13" s="134" t="s">
        <v>265</v>
      </c>
      <c r="C13" s="134" t="s">
        <v>266</v>
      </c>
      <c r="D13" s="134">
        <v>20</v>
      </c>
      <c r="E13" s="132" t="s">
        <v>267</v>
      </c>
      <c r="F13" s="141" t="s">
        <v>268</v>
      </c>
      <c r="G13" s="134" t="s">
        <v>269</v>
      </c>
      <c r="H13" s="140">
        <f>D13*(0.98/0.02)</f>
        <v>980</v>
      </c>
      <c r="I13" s="132" t="s">
        <v>270</v>
      </c>
      <c r="J13" s="141" t="s">
        <v>271</v>
      </c>
      <c r="K13" s="134" t="s">
        <v>272</v>
      </c>
      <c r="L13" s="118"/>
    </row>
    <row r="14" spans="1:28" ht="51">
      <c r="A14" s="130" t="s">
        <v>273</v>
      </c>
      <c r="B14" s="142"/>
      <c r="C14" s="142"/>
      <c r="D14" s="142"/>
      <c r="E14" s="143"/>
      <c r="F14" s="142"/>
      <c r="G14" s="142"/>
      <c r="H14" s="143"/>
      <c r="I14" s="142"/>
      <c r="J14" s="142"/>
      <c r="K14" s="144"/>
      <c r="L14" s="118"/>
    </row>
    <row r="15" spans="1:28" ht="89.25">
      <c r="A15" s="145" t="s">
        <v>274</v>
      </c>
      <c r="B15" s="131" t="s">
        <v>187</v>
      </c>
      <c r="C15" s="131" t="s">
        <v>275</v>
      </c>
      <c r="D15" s="133">
        <v>5.28</v>
      </c>
      <c r="E15" s="132" t="s">
        <v>276</v>
      </c>
      <c r="F15" s="146" t="s">
        <v>277</v>
      </c>
      <c r="G15" s="134" t="s">
        <v>278</v>
      </c>
      <c r="H15" s="136" t="s">
        <v>238</v>
      </c>
      <c r="I15" s="136" t="s">
        <v>238</v>
      </c>
      <c r="J15" s="136" t="s">
        <v>238</v>
      </c>
      <c r="K15" s="136" t="s">
        <v>238</v>
      </c>
      <c r="L15" s="118"/>
    </row>
    <row r="16" spans="1:28" ht="28.5">
      <c r="A16" s="147" t="s">
        <v>279</v>
      </c>
      <c r="B16" s="131" t="s">
        <v>188</v>
      </c>
      <c r="C16" s="131" t="s">
        <v>280</v>
      </c>
      <c r="D16" s="134">
        <v>21.87</v>
      </c>
      <c r="E16" s="134" t="s">
        <v>281</v>
      </c>
      <c r="F16" s="148" t="s">
        <v>282</v>
      </c>
      <c r="G16" s="134" t="s">
        <v>283</v>
      </c>
      <c r="H16" s="136" t="s">
        <v>238</v>
      </c>
      <c r="I16" s="136" t="s">
        <v>238</v>
      </c>
      <c r="J16" s="136" t="s">
        <v>238</v>
      </c>
      <c r="K16" s="136" t="s">
        <v>238</v>
      </c>
      <c r="L16" s="118"/>
    </row>
    <row r="17" spans="1:12" ht="53.25" customHeight="1">
      <c r="A17" s="149" t="s">
        <v>284</v>
      </c>
      <c r="B17" s="131" t="s">
        <v>285</v>
      </c>
      <c r="C17" s="131" t="s">
        <v>286</v>
      </c>
      <c r="D17" s="138">
        <v>15205</v>
      </c>
      <c r="E17" s="134" t="s">
        <v>287</v>
      </c>
      <c r="F17" s="134" t="s">
        <v>288</v>
      </c>
      <c r="G17" s="134" t="s">
        <v>289</v>
      </c>
      <c r="H17" s="136" t="s">
        <v>238</v>
      </c>
      <c r="I17" s="136" t="s">
        <v>238</v>
      </c>
      <c r="J17" s="136" t="s">
        <v>238</v>
      </c>
      <c r="K17" s="136" t="s">
        <v>238</v>
      </c>
      <c r="L17" s="118"/>
    </row>
    <row r="18" spans="1:12" ht="66.75" customHeight="1">
      <c r="A18" s="137" t="s">
        <v>290</v>
      </c>
      <c r="B18" s="139" t="s">
        <v>291</v>
      </c>
      <c r="C18" s="139" t="s">
        <v>292</v>
      </c>
      <c r="D18" s="150" t="s">
        <v>238</v>
      </c>
      <c r="E18" s="150" t="s">
        <v>238</v>
      </c>
      <c r="F18" s="238" t="s">
        <v>293</v>
      </c>
      <c r="G18" s="238"/>
      <c r="H18" s="151" t="s">
        <v>238</v>
      </c>
      <c r="I18" s="151" t="s">
        <v>238</v>
      </c>
      <c r="J18" s="151" t="s">
        <v>238</v>
      </c>
      <c r="K18" s="151" t="s">
        <v>238</v>
      </c>
      <c r="L18" s="118"/>
    </row>
    <row r="19" spans="1:12" ht="321">
      <c r="A19" s="137" t="s">
        <v>294</v>
      </c>
      <c r="B19" s="139" t="s">
        <v>295</v>
      </c>
      <c r="C19" s="139" t="s">
        <v>296</v>
      </c>
      <c r="D19" s="152">
        <f>0.788*0.02*10^6*0.000404</f>
        <v>6.3670400000000003</v>
      </c>
      <c r="E19" s="153" t="s">
        <v>297</v>
      </c>
      <c r="F19" s="139" t="s">
        <v>298</v>
      </c>
      <c r="G19" s="139" t="s">
        <v>299</v>
      </c>
      <c r="H19" s="152">
        <f>54.71*(10^6/10^15)*1235*10^6</f>
        <v>67.566850000000002</v>
      </c>
      <c r="I19" s="153" t="s">
        <v>297</v>
      </c>
      <c r="J19" s="139" t="s">
        <v>300</v>
      </c>
      <c r="K19" s="139" t="s">
        <v>301</v>
      </c>
      <c r="L19" s="118"/>
    </row>
    <row r="20" spans="1:12" ht="66.75">
      <c r="A20" s="137" t="s">
        <v>302</v>
      </c>
      <c r="B20" s="131" t="s">
        <v>303</v>
      </c>
      <c r="C20" s="131" t="s">
        <v>304</v>
      </c>
      <c r="D20" s="154">
        <v>2.6670000000000001E-3</v>
      </c>
      <c r="E20" s="135" t="s">
        <v>305</v>
      </c>
      <c r="F20" s="137" t="s">
        <v>306</v>
      </c>
      <c r="G20" s="131" t="s">
        <v>307</v>
      </c>
      <c r="H20" s="136" t="s">
        <v>238</v>
      </c>
      <c r="I20" s="136" t="s">
        <v>238</v>
      </c>
      <c r="J20" s="136" t="s">
        <v>238</v>
      </c>
      <c r="K20" s="136" t="s">
        <v>238</v>
      </c>
      <c r="L20" s="118"/>
    </row>
    <row r="21" spans="1:12" ht="66.75" customHeight="1">
      <c r="A21" s="137" t="s">
        <v>308</v>
      </c>
      <c r="B21" s="139" t="s">
        <v>291</v>
      </c>
      <c r="C21" s="139" t="s">
        <v>292</v>
      </c>
      <c r="D21" s="150" t="s">
        <v>238</v>
      </c>
      <c r="E21" s="150" t="s">
        <v>238</v>
      </c>
      <c r="F21" s="238" t="s">
        <v>293</v>
      </c>
      <c r="G21" s="238"/>
      <c r="H21" s="151" t="s">
        <v>238</v>
      </c>
      <c r="I21" s="151" t="s">
        <v>238</v>
      </c>
      <c r="J21" s="151" t="s">
        <v>238</v>
      </c>
      <c r="K21" s="151" t="s">
        <v>238</v>
      </c>
      <c r="L21" s="118"/>
    </row>
    <row r="22" spans="1:12" s="155" customFormat="1" ht="185.25">
      <c r="A22" s="137" t="s">
        <v>309</v>
      </c>
      <c r="B22" s="134" t="s">
        <v>285</v>
      </c>
      <c r="C22" s="134" t="s">
        <v>286</v>
      </c>
      <c r="D22" s="140">
        <f>150/0.02832</f>
        <v>5296.6101694915251</v>
      </c>
      <c r="E22" s="139" t="s">
        <v>310</v>
      </c>
      <c r="F22" s="137" t="s">
        <v>311</v>
      </c>
      <c r="G22" s="134" t="s">
        <v>312</v>
      </c>
      <c r="H22" s="151" t="s">
        <v>238</v>
      </c>
      <c r="I22" s="151" t="s">
        <v>238</v>
      </c>
      <c r="J22" s="151" t="s">
        <v>238</v>
      </c>
      <c r="K22" s="151" t="s">
        <v>238</v>
      </c>
      <c r="L22" s="118"/>
    </row>
    <row r="23" spans="1:12" s="155" customFormat="1" ht="53.25" customHeight="1">
      <c r="A23" s="137" t="s">
        <v>313</v>
      </c>
      <c r="B23" s="134" t="s">
        <v>233</v>
      </c>
      <c r="C23" s="139" t="s">
        <v>314</v>
      </c>
      <c r="D23" s="152">
        <f>B52*10^9/(455015+525000)*$C$62</f>
        <v>5.3591016464033716</v>
      </c>
      <c r="E23" s="156" t="s">
        <v>315</v>
      </c>
      <c r="F23" s="132" t="s">
        <v>316</v>
      </c>
      <c r="G23" s="134" t="s">
        <v>317</v>
      </c>
      <c r="H23" s="151" t="s">
        <v>238</v>
      </c>
      <c r="I23" s="151" t="s">
        <v>238</v>
      </c>
      <c r="J23" s="151" t="s">
        <v>238</v>
      </c>
      <c r="K23" s="151" t="s">
        <v>238</v>
      </c>
      <c r="L23" s="118"/>
    </row>
    <row r="24" spans="1:12" s="155" customFormat="1" ht="114.75">
      <c r="A24" s="137" t="s">
        <v>318</v>
      </c>
      <c r="B24" s="142"/>
      <c r="C24" s="142"/>
      <c r="D24" s="157"/>
      <c r="E24" s="158"/>
      <c r="F24" s="142"/>
      <c r="G24" s="142"/>
      <c r="H24" s="142"/>
      <c r="I24" s="142"/>
      <c r="J24" s="142"/>
      <c r="K24" s="144"/>
      <c r="L24" s="118"/>
    </row>
    <row r="25" spans="1:12" ht="146.25">
      <c r="A25" s="159" t="s">
        <v>319</v>
      </c>
      <c r="B25" s="134" t="s">
        <v>320</v>
      </c>
      <c r="C25" s="134" t="s">
        <v>321</v>
      </c>
      <c r="D25" s="160">
        <f>H25*(0.02/0.98)</f>
        <v>13.143059887163062</v>
      </c>
      <c r="E25" s="132" t="s">
        <v>322</v>
      </c>
      <c r="F25" s="141" t="s">
        <v>323</v>
      </c>
      <c r="G25" s="134" t="s">
        <v>324</v>
      </c>
      <c r="H25" s="138">
        <f>(0.0781/10^6)*(1/0.293)*745.7*90*24*1500</f>
        <v>644.00993447098995</v>
      </c>
      <c r="I25" s="132" t="s">
        <v>325</v>
      </c>
      <c r="J25" s="141" t="s">
        <v>323</v>
      </c>
      <c r="K25" s="134" t="s">
        <v>326</v>
      </c>
      <c r="L25" s="118"/>
    </row>
    <row r="26" spans="1:12" ht="146.25">
      <c r="A26" s="159" t="s">
        <v>327</v>
      </c>
      <c r="B26" s="134" t="s">
        <v>320</v>
      </c>
      <c r="C26" s="134" t="s">
        <v>328</v>
      </c>
      <c r="D26" s="161">
        <f>H26*(0.02/0.98)</f>
        <v>13.143059887163062</v>
      </c>
      <c r="E26" s="132" t="s">
        <v>322</v>
      </c>
      <c r="F26" s="141" t="s">
        <v>323</v>
      </c>
      <c r="G26" s="134" t="s">
        <v>324</v>
      </c>
      <c r="H26" s="138">
        <f>(0.0781/10^6)*(1/0.293)*745.7*90*24*1500</f>
        <v>644.00993447098995</v>
      </c>
      <c r="I26" s="132" t="s">
        <v>325</v>
      </c>
      <c r="J26" s="141" t="s">
        <v>323</v>
      </c>
      <c r="K26" s="134" t="s">
        <v>326</v>
      </c>
      <c r="L26" s="118"/>
    </row>
    <row r="27" spans="1:12" ht="228.75">
      <c r="A27" s="239" t="s">
        <v>329</v>
      </c>
      <c r="B27" s="134" t="s">
        <v>330</v>
      </c>
      <c r="C27" s="134" t="s">
        <v>331</v>
      </c>
      <c r="D27" s="162">
        <v>0.24</v>
      </c>
      <c r="E27" s="132" t="s">
        <v>332</v>
      </c>
      <c r="F27" s="141" t="s">
        <v>333</v>
      </c>
      <c r="G27" s="134" t="s">
        <v>334</v>
      </c>
      <c r="H27" s="163">
        <f>0.0531*15992</f>
        <v>849.17520000000002</v>
      </c>
      <c r="I27" s="139" t="s">
        <v>335</v>
      </c>
      <c r="J27" s="141" t="s">
        <v>336</v>
      </c>
      <c r="K27" s="134" t="s">
        <v>337</v>
      </c>
      <c r="L27" s="118"/>
    </row>
    <row r="28" spans="1:12" ht="409.5">
      <c r="A28" s="239"/>
      <c r="B28" s="134" t="s">
        <v>338</v>
      </c>
      <c r="C28" s="134" t="s">
        <v>339</v>
      </c>
      <c r="D28" s="140">
        <f>D27*1000000*(52434/32233)</f>
        <v>390412.31036515371</v>
      </c>
      <c r="E28" s="132" t="s">
        <v>340</v>
      </c>
      <c r="F28" s="141" t="s">
        <v>341</v>
      </c>
      <c r="G28" s="134" t="s">
        <v>342</v>
      </c>
      <c r="H28" s="138">
        <f>H27*(52434/32233)</f>
        <v>1381.3685489032978</v>
      </c>
      <c r="I28" s="132" t="s">
        <v>343</v>
      </c>
      <c r="J28" s="141" t="s">
        <v>344</v>
      </c>
      <c r="K28" s="132" t="s">
        <v>342</v>
      </c>
      <c r="L28" s="118"/>
    </row>
    <row r="29" spans="1:12" ht="15.75" customHeight="1">
      <c r="A29" s="240" t="s">
        <v>213</v>
      </c>
      <c r="B29" s="240"/>
      <c r="C29" s="240"/>
      <c r="D29" s="164"/>
      <c r="E29" s="165"/>
      <c r="F29" s="166"/>
      <c r="G29" s="167"/>
      <c r="H29" s="164"/>
      <c r="I29" s="119"/>
      <c r="J29" s="119"/>
      <c r="K29" s="119"/>
      <c r="L29" s="118"/>
    </row>
    <row r="30" spans="1:12" ht="14.25">
      <c r="A30" s="241" t="s">
        <v>345</v>
      </c>
      <c r="B30" s="241"/>
      <c r="C30" s="241"/>
      <c r="D30" s="168"/>
      <c r="E30" s="169"/>
      <c r="F30" s="170"/>
      <c r="G30" s="171"/>
      <c r="H30" s="168"/>
      <c r="I30" s="119"/>
      <c r="J30" s="119"/>
      <c r="K30" s="119"/>
      <c r="L30" s="118"/>
    </row>
    <row r="31" spans="1:12" ht="29.25" customHeight="1">
      <c r="A31" s="237" t="s">
        <v>346</v>
      </c>
      <c r="B31" s="237"/>
      <c r="C31" s="237"/>
      <c r="D31" s="168"/>
      <c r="E31" s="169"/>
      <c r="F31" s="170"/>
      <c r="G31" s="171"/>
      <c r="H31" s="168"/>
      <c r="I31" s="119"/>
      <c r="J31" s="119"/>
      <c r="K31" s="119"/>
      <c r="L31" s="118"/>
    </row>
    <row r="32" spans="1:12" ht="44.25" customHeight="1">
      <c r="A32" s="237" t="s">
        <v>347</v>
      </c>
      <c r="B32" s="237"/>
      <c r="C32" s="237"/>
      <c r="D32" s="168"/>
      <c r="E32" s="169"/>
      <c r="F32" s="170"/>
      <c r="G32" s="171"/>
      <c r="H32" s="168"/>
      <c r="I32" s="119"/>
      <c r="J32" s="119"/>
      <c r="K32" s="119"/>
      <c r="L32" s="118"/>
    </row>
    <row r="33" spans="1:12" ht="14.25">
      <c r="A33" s="237" t="s">
        <v>348</v>
      </c>
      <c r="B33" s="237"/>
      <c r="C33" s="237"/>
      <c r="D33" s="118"/>
      <c r="E33" s="169"/>
      <c r="F33" s="170"/>
      <c r="G33" s="171"/>
      <c r="H33" s="168"/>
      <c r="I33" s="119"/>
      <c r="J33" s="119"/>
      <c r="K33" s="119"/>
      <c r="L33" s="118"/>
    </row>
    <row r="34" spans="1:12" ht="43.5" customHeight="1">
      <c r="A34" s="242" t="s">
        <v>349</v>
      </c>
      <c r="B34" s="242"/>
      <c r="C34" s="242"/>
      <c r="D34" s="119" t="s">
        <v>350</v>
      </c>
      <c r="E34" s="169"/>
      <c r="F34" s="170"/>
      <c r="G34" s="171"/>
      <c r="H34" s="168"/>
      <c r="I34" s="119"/>
      <c r="J34" s="119"/>
      <c r="K34" s="119"/>
      <c r="L34" s="118"/>
    </row>
    <row r="35" spans="1:12" ht="12.75" customHeight="1">
      <c r="A35" s="236" t="s">
        <v>351</v>
      </c>
      <c r="B35" s="236"/>
      <c r="C35" s="236"/>
      <c r="D35" s="119"/>
      <c r="E35" s="169"/>
      <c r="F35" s="170"/>
      <c r="G35" s="171"/>
      <c r="H35" s="168"/>
      <c r="I35" s="119"/>
      <c r="J35" s="119"/>
      <c r="K35" s="119"/>
      <c r="L35" s="118"/>
    </row>
    <row r="36" spans="1:12" ht="14.25">
      <c r="A36" s="118"/>
      <c r="B36" s="118"/>
      <c r="C36" s="172"/>
      <c r="D36" s="172"/>
      <c r="E36" s="118"/>
      <c r="F36" s="118"/>
      <c r="G36" s="171"/>
      <c r="H36" s="168"/>
      <c r="I36" s="119"/>
      <c r="J36" s="119"/>
      <c r="K36" s="119"/>
      <c r="L36" s="118"/>
    </row>
    <row r="37" spans="1:12" ht="14.25">
      <c r="A37" s="118"/>
      <c r="B37" s="118"/>
      <c r="C37" s="118"/>
      <c r="D37" s="118"/>
      <c r="E37" s="118"/>
      <c r="F37" s="118"/>
      <c r="G37" s="119"/>
      <c r="H37" s="118"/>
      <c r="I37" s="118"/>
      <c r="J37" s="118"/>
      <c r="K37" s="118"/>
      <c r="L37" s="118"/>
    </row>
    <row r="38" spans="1:12" ht="14.25">
      <c r="A38" s="118"/>
      <c r="B38" s="118"/>
      <c r="C38" s="118"/>
      <c r="D38" s="118"/>
      <c r="E38" s="118"/>
      <c r="F38" s="118"/>
      <c r="G38" s="119"/>
      <c r="H38" s="118"/>
      <c r="I38" s="118"/>
      <c r="J38" s="118"/>
      <c r="K38" s="118"/>
      <c r="L38" s="118"/>
    </row>
    <row r="39" spans="1:12" ht="14.25">
      <c r="A39" s="173" t="s">
        <v>352</v>
      </c>
      <c r="B39" s="174"/>
      <c r="C39" s="118"/>
      <c r="D39" s="118"/>
      <c r="E39" s="118"/>
      <c r="F39" s="118"/>
      <c r="G39" s="119"/>
      <c r="H39" s="118"/>
      <c r="I39" s="118"/>
      <c r="J39" s="118"/>
      <c r="K39" s="118"/>
      <c r="L39" s="118"/>
    </row>
    <row r="40" spans="1:12" ht="15">
      <c r="A40" s="175" t="s">
        <v>353</v>
      </c>
      <c r="B40" s="175"/>
      <c r="C40" s="118"/>
      <c r="D40" s="118"/>
      <c r="E40" s="118"/>
      <c r="F40" s="118"/>
      <c r="G40" s="119"/>
      <c r="H40" s="118"/>
      <c r="I40" s="118"/>
      <c r="J40" s="118"/>
      <c r="K40" s="118"/>
      <c r="L40" s="118"/>
    </row>
    <row r="41" spans="1:12" ht="29.25" customHeight="1">
      <c r="A41" s="232" t="s">
        <v>354</v>
      </c>
      <c r="B41" s="232"/>
      <c r="C41" s="122"/>
      <c r="D41" s="118"/>
      <c r="E41" s="118"/>
      <c r="F41" s="118"/>
      <c r="G41" s="119"/>
      <c r="H41" s="118"/>
      <c r="I41" s="118"/>
      <c r="J41" s="118"/>
      <c r="K41" s="118"/>
      <c r="L41" s="118"/>
    </row>
    <row r="42" spans="1:12" ht="29.25" customHeight="1">
      <c r="A42" s="232" t="s">
        <v>246</v>
      </c>
      <c r="B42" s="232"/>
      <c r="C42" s="122"/>
      <c r="D42" s="118"/>
      <c r="E42" s="118"/>
      <c r="F42" s="118"/>
      <c r="G42" s="119"/>
      <c r="H42" s="118"/>
      <c r="I42" s="118"/>
      <c r="J42" s="118"/>
      <c r="K42" s="118"/>
      <c r="L42" s="118"/>
    </row>
    <row r="43" spans="1:12" ht="14.25">
      <c r="A43" s="118"/>
      <c r="B43" s="118"/>
      <c r="C43" s="118"/>
      <c r="D43" s="118"/>
      <c r="E43" s="118"/>
      <c r="F43" s="118"/>
      <c r="G43" s="119"/>
      <c r="H43" s="118"/>
      <c r="I43" s="118"/>
      <c r="J43" s="118"/>
      <c r="K43" s="118"/>
      <c r="L43" s="118"/>
    </row>
    <row r="44" spans="1:12" ht="42.75" customHeight="1">
      <c r="A44" s="176" t="s">
        <v>353</v>
      </c>
      <c r="B44" s="177" t="s">
        <v>355</v>
      </c>
      <c r="C44" s="178"/>
      <c r="D44" s="179"/>
      <c r="E44" s="179"/>
      <c r="F44" s="118"/>
      <c r="G44" s="119"/>
      <c r="H44" s="180"/>
      <c r="I44" s="181"/>
      <c r="J44" s="182"/>
      <c r="K44" s="183"/>
      <c r="L44" s="118"/>
    </row>
    <row r="45" spans="1:12" ht="14.25">
      <c r="A45" s="131" t="s">
        <v>356</v>
      </c>
      <c r="B45" s="184">
        <v>141</v>
      </c>
      <c r="C45" s="185"/>
      <c r="D45" s="182"/>
      <c r="E45" s="183"/>
      <c r="F45" s="118"/>
      <c r="G45" s="119"/>
      <c r="H45" s="180"/>
      <c r="I45" s="181"/>
      <c r="J45" s="182"/>
      <c r="K45" s="183"/>
      <c r="L45" s="118"/>
    </row>
    <row r="46" spans="1:12" ht="14.25">
      <c r="A46" s="131" t="s">
        <v>357</v>
      </c>
      <c r="B46" s="184">
        <v>80</v>
      </c>
      <c r="C46" s="185"/>
      <c r="D46" s="182"/>
      <c r="E46" s="183"/>
      <c r="F46" s="118"/>
      <c r="G46" s="119"/>
      <c r="H46" s="180"/>
      <c r="I46" s="181"/>
      <c r="J46" s="182"/>
      <c r="K46" s="183"/>
      <c r="L46" s="118"/>
    </row>
    <row r="47" spans="1:12" ht="14.25">
      <c r="A47" s="131" t="s">
        <v>358</v>
      </c>
      <c r="B47" s="184">
        <v>77</v>
      </c>
      <c r="C47" s="185"/>
      <c r="D47" s="182"/>
      <c r="E47" s="183"/>
      <c r="F47" s="118"/>
      <c r="G47" s="119"/>
      <c r="H47" s="180"/>
      <c r="I47" s="181"/>
      <c r="J47" s="182"/>
      <c r="K47" s="183"/>
      <c r="L47" s="118"/>
    </row>
    <row r="48" spans="1:12" ht="14.25">
      <c r="A48" s="131" t="s">
        <v>359</v>
      </c>
      <c r="B48" s="184">
        <v>27</v>
      </c>
      <c r="C48" s="185"/>
      <c r="D48" s="182"/>
      <c r="E48" s="186"/>
      <c r="F48" s="118"/>
      <c r="G48" s="119"/>
      <c r="H48" s="180"/>
      <c r="I48" s="181"/>
      <c r="J48" s="182"/>
      <c r="K48" s="183"/>
      <c r="L48" s="118"/>
    </row>
    <row r="49" spans="1:12" ht="14.25">
      <c r="A49" s="131" t="s">
        <v>360</v>
      </c>
      <c r="B49" s="184">
        <v>11</v>
      </c>
      <c r="C49" s="185"/>
      <c r="D49" s="182"/>
      <c r="E49" s="186"/>
      <c r="F49" s="118"/>
      <c r="G49" s="119"/>
      <c r="H49" s="180"/>
      <c r="I49" s="181"/>
      <c r="J49" s="182"/>
      <c r="K49" s="183"/>
      <c r="L49" s="118"/>
    </row>
    <row r="50" spans="1:12" ht="14.25">
      <c r="A50" s="131" t="s">
        <v>361</v>
      </c>
      <c r="B50" s="184">
        <v>7</v>
      </c>
      <c r="C50" s="185"/>
      <c r="D50" s="182"/>
      <c r="E50" s="186"/>
      <c r="F50" s="118"/>
      <c r="G50" s="119"/>
      <c r="H50" s="180"/>
      <c r="I50" s="181"/>
      <c r="J50" s="182"/>
      <c r="K50" s="183"/>
      <c r="L50" s="118"/>
    </row>
    <row r="51" spans="1:12" ht="14.25">
      <c r="A51" s="131" t="s">
        <v>362</v>
      </c>
      <c r="B51" s="184">
        <v>7</v>
      </c>
      <c r="C51" s="185"/>
      <c r="D51" s="182"/>
      <c r="E51" s="183"/>
      <c r="F51" s="118"/>
      <c r="G51" s="119"/>
      <c r="H51" s="180"/>
      <c r="I51" s="181"/>
      <c r="J51" s="182"/>
      <c r="K51" s="183"/>
      <c r="L51" s="118"/>
    </row>
    <row r="52" spans="1:12" ht="14.25">
      <c r="A52" s="131" t="s">
        <v>363</v>
      </c>
      <c r="B52" s="184">
        <v>13</v>
      </c>
      <c r="C52" s="185"/>
      <c r="D52" s="182"/>
      <c r="E52" s="183"/>
      <c r="F52" s="118"/>
      <c r="G52" s="119"/>
      <c r="H52" s="180"/>
      <c r="I52" s="181"/>
      <c r="J52" s="182"/>
      <c r="K52" s="183"/>
      <c r="L52" s="118"/>
    </row>
    <row r="53" spans="1:12" ht="14.25">
      <c r="A53" s="131" t="s">
        <v>364</v>
      </c>
      <c r="B53" s="184">
        <v>24</v>
      </c>
      <c r="C53" s="185"/>
      <c r="D53" s="182"/>
      <c r="E53" s="187"/>
      <c r="F53" s="118"/>
      <c r="G53" s="119"/>
      <c r="H53" s="180"/>
      <c r="I53" s="181"/>
      <c r="J53" s="182"/>
      <c r="K53" s="183"/>
      <c r="L53" s="118"/>
    </row>
    <row r="54" spans="1:12" ht="14.25">
      <c r="A54" s="188" t="s">
        <v>365</v>
      </c>
      <c r="B54" s="189">
        <f>SUM(B45:B53)</f>
        <v>387</v>
      </c>
      <c r="C54" s="185"/>
      <c r="D54" s="190"/>
      <c r="E54" s="118"/>
      <c r="F54" s="118"/>
      <c r="G54" s="119"/>
      <c r="H54" s="180"/>
      <c r="I54" s="181"/>
      <c r="J54" s="182"/>
      <c r="K54" s="183"/>
      <c r="L54" s="118"/>
    </row>
    <row r="55" spans="1:12" ht="14.25">
      <c r="A55" s="191" t="s">
        <v>366</v>
      </c>
      <c r="B55" s="192">
        <f>B54-B53</f>
        <v>363</v>
      </c>
      <c r="C55" s="185"/>
      <c r="D55" s="193"/>
      <c r="E55" s="118"/>
      <c r="F55" s="118"/>
      <c r="G55" s="119"/>
      <c r="H55" s="180"/>
      <c r="I55" s="181"/>
      <c r="J55" s="182"/>
      <c r="K55" s="183"/>
      <c r="L55" s="118"/>
    </row>
    <row r="56" spans="1:12" ht="25.5" customHeight="1">
      <c r="A56" s="233" t="s">
        <v>367</v>
      </c>
      <c r="B56" s="233"/>
      <c r="C56" s="194"/>
      <c r="D56" s="183"/>
      <c r="E56" s="118"/>
      <c r="F56" s="118"/>
      <c r="G56" s="119"/>
      <c r="H56" s="180"/>
      <c r="I56" s="181"/>
      <c r="J56" s="182"/>
      <c r="K56" s="183"/>
      <c r="L56" s="118"/>
    </row>
    <row r="57" spans="1:12" ht="14.25">
      <c r="A57" s="118"/>
      <c r="B57" s="118"/>
      <c r="C57" s="118"/>
      <c r="D57" s="118"/>
      <c r="E57" s="118"/>
      <c r="F57" s="118"/>
      <c r="G57" s="119"/>
      <c r="H57" s="180"/>
      <c r="I57" s="181"/>
      <c r="J57" s="182"/>
      <c r="K57" s="183"/>
      <c r="L57" s="118"/>
    </row>
    <row r="58" spans="1:12" ht="14.25">
      <c r="A58" s="118"/>
      <c r="B58" s="118"/>
      <c r="C58" s="118"/>
      <c r="D58" s="118"/>
      <c r="E58" s="118"/>
      <c r="F58" s="118"/>
      <c r="G58" s="119"/>
      <c r="H58" s="180"/>
      <c r="I58" s="181"/>
      <c r="J58" s="182"/>
      <c r="K58" s="183"/>
      <c r="L58" s="118"/>
    </row>
    <row r="59" spans="1:12" ht="14.25">
      <c r="A59" s="118"/>
      <c r="B59" s="118"/>
      <c r="C59" s="118"/>
      <c r="D59" s="186"/>
      <c r="E59" s="195"/>
      <c r="G59" s="119"/>
      <c r="H59" s="187"/>
      <c r="I59" s="195"/>
      <c r="J59" s="195"/>
      <c r="K59" s="196"/>
      <c r="L59" s="118"/>
    </row>
    <row r="60" spans="1:12" ht="20.25">
      <c r="A60" s="197" t="s">
        <v>368</v>
      </c>
      <c r="B60" s="198"/>
      <c r="C60" s="199"/>
      <c r="D60" s="186"/>
      <c r="E60" s="195"/>
      <c r="F60" s="118"/>
      <c r="G60" s="119"/>
      <c r="H60" s="118"/>
      <c r="I60" s="118"/>
      <c r="J60" s="118"/>
      <c r="K60" s="118"/>
      <c r="L60" s="118"/>
    </row>
    <row r="61" spans="1:12" ht="14.25">
      <c r="A61" s="200" t="s">
        <v>369</v>
      </c>
      <c r="B61" s="200" t="s">
        <v>370</v>
      </c>
      <c r="C61" s="200" t="s">
        <v>371</v>
      </c>
      <c r="D61" s="201"/>
      <c r="E61" s="118"/>
      <c r="F61" s="118"/>
      <c r="G61" s="119"/>
      <c r="H61" s="118"/>
      <c r="I61" s="118"/>
      <c r="J61" s="118"/>
      <c r="K61" s="118"/>
      <c r="L61" s="118"/>
    </row>
    <row r="62" spans="1:12" ht="15.75">
      <c r="A62" s="202" t="s">
        <v>372</v>
      </c>
      <c r="B62" s="202" t="s">
        <v>373</v>
      </c>
      <c r="C62" s="202">
        <v>4.0400000000000001E-4</v>
      </c>
      <c r="D62" s="201"/>
      <c r="E62" s="118"/>
      <c r="F62" s="118"/>
      <c r="G62" s="119"/>
      <c r="H62" s="118"/>
      <c r="I62" s="118"/>
      <c r="J62" s="118"/>
      <c r="K62" s="118"/>
      <c r="L62" s="118"/>
    </row>
    <row r="63" spans="1:12" ht="15.75">
      <c r="A63" s="202" t="s">
        <v>374</v>
      </c>
      <c r="B63" s="202" t="s">
        <v>373</v>
      </c>
      <c r="C63" s="203">
        <f>52.62/1000000</f>
        <v>5.2619999999999994E-5</v>
      </c>
      <c r="D63" s="204"/>
      <c r="E63" s="118"/>
      <c r="F63" s="118"/>
      <c r="G63" s="119"/>
      <c r="H63" s="118"/>
      <c r="I63" s="118"/>
      <c r="J63" s="118"/>
      <c r="K63" s="118"/>
      <c r="L63" s="118"/>
    </row>
    <row r="64" spans="1:12" ht="15.75">
      <c r="A64" s="202" t="s">
        <v>375</v>
      </c>
      <c r="B64" s="202" t="s">
        <v>376</v>
      </c>
      <c r="C64" s="205">
        <v>84</v>
      </c>
      <c r="D64" s="118"/>
      <c r="E64" s="118"/>
      <c r="F64" s="118"/>
      <c r="G64" s="119"/>
      <c r="H64" s="118"/>
      <c r="I64" s="118"/>
      <c r="J64" s="118"/>
      <c r="K64" s="118"/>
      <c r="L64" s="118"/>
    </row>
    <row r="65" spans="1:12" ht="15.75">
      <c r="A65" s="234" t="s">
        <v>377</v>
      </c>
      <c r="B65" s="234"/>
      <c r="C65" s="234"/>
      <c r="D65" s="118"/>
      <c r="E65" s="118"/>
      <c r="F65" s="118"/>
      <c r="G65" s="119"/>
      <c r="H65" s="118"/>
      <c r="I65" s="118"/>
      <c r="J65" s="118"/>
      <c r="K65" s="118"/>
      <c r="L65" s="118"/>
    </row>
    <row r="66" spans="1:12" ht="14.25">
      <c r="A66" s="206"/>
      <c r="B66" s="207"/>
      <c r="C66" s="118"/>
      <c r="D66" s="118"/>
      <c r="E66" s="118"/>
      <c r="F66" s="118"/>
      <c r="G66" s="119"/>
      <c r="H66" s="118"/>
      <c r="I66" s="118"/>
      <c r="J66" s="118"/>
      <c r="K66" s="118"/>
      <c r="L66" s="118"/>
    </row>
    <row r="67" spans="1:12" ht="14.25">
      <c r="A67" s="206"/>
      <c r="B67" s="206"/>
      <c r="C67" s="118"/>
      <c r="D67" s="118"/>
      <c r="E67" s="118"/>
      <c r="F67" s="118"/>
      <c r="G67" s="119"/>
      <c r="H67" s="118"/>
      <c r="I67" s="118"/>
      <c r="J67" s="118"/>
      <c r="K67" s="118"/>
      <c r="L67" s="118"/>
    </row>
    <row r="69" spans="1:12" ht="12.75" customHeight="1">
      <c r="A69" s="235" t="s">
        <v>378</v>
      </c>
      <c r="B69" s="235"/>
      <c r="C69" s="235"/>
    </row>
    <row r="70" spans="1:12" ht="12.75" customHeight="1">
      <c r="A70" s="235"/>
      <c r="B70" s="235"/>
      <c r="C70" s="235"/>
    </row>
    <row r="71" spans="1:12" ht="12.75" customHeight="1">
      <c r="A71" s="235"/>
      <c r="B71" s="235"/>
      <c r="C71" s="235"/>
    </row>
    <row r="72" spans="1:12" ht="12.75" customHeight="1">
      <c r="A72" s="235"/>
      <c r="B72" s="235"/>
      <c r="C72" s="235"/>
    </row>
    <row r="73" spans="1:12" ht="12.75" customHeight="1">
      <c r="A73" s="235"/>
      <c r="B73" s="235"/>
      <c r="C73" s="235"/>
    </row>
    <row r="74" spans="1:12" ht="12.75" customHeight="1">
      <c r="A74" s="235"/>
      <c r="B74" s="235"/>
      <c r="C74" s="235"/>
    </row>
    <row r="75" spans="1:12" ht="12.75" customHeight="1">
      <c r="A75" s="235"/>
      <c r="B75" s="235"/>
      <c r="C75" s="235"/>
    </row>
    <row r="76" spans="1:12" ht="12.75" customHeight="1">
      <c r="A76" s="235"/>
      <c r="B76" s="235"/>
      <c r="C76" s="235"/>
    </row>
    <row r="77" spans="1:12" ht="12.75" customHeight="1">
      <c r="A77" s="235"/>
      <c r="B77" s="235"/>
      <c r="C77" s="235"/>
    </row>
    <row r="78" spans="1:12" ht="12.75" customHeight="1">
      <c r="A78" s="235"/>
      <c r="B78" s="235"/>
      <c r="C78" s="235"/>
    </row>
  </sheetData>
  <sheetProtection algorithmName="SHA-512" hashValue="8dCHa0px2KBgCx4hovU7iVWohPkDY0D0WtQevfnqR0srl4QoqvpFxDszVYdYBT0+3r6Nhmne5K1BlPM2yyfxXw==" saltValue="PcrAbulENz621hZeY1KzEg==" spinCount="100000" sheet="1" objects="1" scenarios="1"/>
  <mergeCells count="17">
    <mergeCell ref="A35:C35"/>
    <mergeCell ref="A3:C3"/>
    <mergeCell ref="A12:A13"/>
    <mergeCell ref="F18:G18"/>
    <mergeCell ref="F21:G21"/>
    <mergeCell ref="A27:A28"/>
    <mergeCell ref="A29:C29"/>
    <mergeCell ref="A30:C30"/>
    <mergeCell ref="A31:C31"/>
    <mergeCell ref="A32:C32"/>
    <mergeCell ref="A33:C33"/>
    <mergeCell ref="A34:C34"/>
    <mergeCell ref="A41:B41"/>
    <mergeCell ref="A42:B42"/>
    <mergeCell ref="A56:B56"/>
    <mergeCell ref="A65:C65"/>
    <mergeCell ref="A69:C78"/>
  </mergeCell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tabSelected="1" workbookViewId="0"/>
  </sheetViews>
  <sheetFormatPr defaultRowHeight="14.25"/>
  <cols>
    <col min="1" max="1024" width="8" customWidth="1"/>
  </cols>
  <sheetData/>
  <sheetProtection algorithmName="SHA-512" hashValue="vxjx1cTO7FJOsf8lQcImimqshE/TNeRCTC1pX4LRFZm2cqvL3ktUhA972MlRAXPxo8/xTloDbW6iIqJh+wur1g==" saltValue="PXQ5YfldHDqhuQXU6dUDiA==" spinCount="100000" sheet="1" objects="1" scenarios="1"/>
  <pageMargins left="0.70000000000000007" right="0.70000000000000007" top="1.1437000000000002" bottom="1.1437000000000002" header="0.75000000000000011" footer="0.75000000000000011"/>
  <pageSetup paperSize="0" fitToWidth="0" fitToHeight="0" orientation="landscape"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5"/>
  <sheetViews>
    <sheetView topLeftCell="A3" workbookViewId="0">
      <selection activeCell="C44" sqref="C44"/>
    </sheetView>
  </sheetViews>
  <sheetFormatPr defaultRowHeight="14.25"/>
  <cols>
    <col min="1" max="1" width="14" customWidth="1"/>
    <col min="2" max="2" width="33.75" customWidth="1"/>
    <col min="3" max="3" width="9.875" customWidth="1"/>
    <col min="4" max="4" width="13.75" customWidth="1"/>
    <col min="5" max="5" width="10.375" customWidth="1"/>
    <col min="6" max="7" width="8.625" customWidth="1"/>
    <col min="8" max="8" width="9.75" customWidth="1"/>
    <col min="9" max="9" width="8" customWidth="1"/>
    <col min="10" max="10" width="10.875"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63.75">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ht="12.75" customHeight="1">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B44-$B$43</f>
        <v>18759</v>
      </c>
      <c r="D44" s="24">
        <f t="shared" ref="D44:D54" si="1">C44*1000000</f>
        <v>18759000000</v>
      </c>
      <c r="E44" s="25">
        <f t="shared" ref="E44:E54" si="2">D44/$C$63</f>
        <v>385195.07186858315</v>
      </c>
      <c r="F44" s="25">
        <f t="shared" ref="F44:F54" si="3">E44*$C$60</f>
        <v>9629.8767967145795</v>
      </c>
      <c r="G44" s="25">
        <f t="shared" ref="G44:G54" si="4">F44*$C$64</f>
        <v>9437.2792607802876</v>
      </c>
      <c r="H44" s="25">
        <f t="shared" ref="H44:H54" si="5">G44*$C$62</f>
        <v>264243.81930184807</v>
      </c>
      <c r="I44">
        <f t="shared" ref="I44:I54" si="6">H44/1000000</f>
        <v>0.26424381930184809</v>
      </c>
      <c r="J44">
        <f t="shared" ref="J44:J54" si="7">I44*$C$58</f>
        <v>0.22649470225872692</v>
      </c>
      <c r="K44">
        <f>J44+'PA Frack Wells'!$D$61</f>
        <v>0.2843874218871103</v>
      </c>
    </row>
    <row r="45" spans="1:12">
      <c r="A45" s="19">
        <v>39629</v>
      </c>
      <c r="B45" s="24">
        <v>196067</v>
      </c>
      <c r="C45" s="24">
        <f t="shared" si="0"/>
        <v>13773</v>
      </c>
      <c r="D45" s="24">
        <f t="shared" si="1"/>
        <v>13773000000</v>
      </c>
      <c r="E45" s="25">
        <f t="shared" si="2"/>
        <v>282813.14168377826</v>
      </c>
      <c r="F45" s="25">
        <f t="shared" si="3"/>
        <v>7070.3285420944567</v>
      </c>
      <c r="G45" s="25">
        <f t="shared" si="4"/>
        <v>6928.9219712525673</v>
      </c>
      <c r="H45" s="25">
        <f t="shared" si="5"/>
        <v>194009.81519507189</v>
      </c>
      <c r="I45">
        <f t="shared" si="6"/>
        <v>0.19400981519507188</v>
      </c>
      <c r="J45">
        <f t="shared" si="7"/>
        <v>0.1662941273100616</v>
      </c>
      <c r="K45">
        <f>J45+'PA Frack Wells'!$D$61</f>
        <v>0.22418684693844501</v>
      </c>
    </row>
    <row r="46" spans="1:12">
      <c r="A46" s="19">
        <v>39994</v>
      </c>
      <c r="B46" s="24">
        <v>196510</v>
      </c>
      <c r="C46" s="24">
        <f t="shared" si="0"/>
        <v>14216</v>
      </c>
      <c r="D46" s="24">
        <f t="shared" si="1"/>
        <v>14216000000</v>
      </c>
      <c r="E46" s="25">
        <f t="shared" si="2"/>
        <v>291909.65092402464</v>
      </c>
      <c r="F46" s="25">
        <f t="shared" si="3"/>
        <v>7297.7412731006161</v>
      </c>
      <c r="G46" s="25">
        <f t="shared" si="4"/>
        <v>7151.7864476386039</v>
      </c>
      <c r="H46" s="25">
        <f t="shared" si="5"/>
        <v>200250.02053388092</v>
      </c>
      <c r="I46">
        <f t="shared" si="6"/>
        <v>0.20025002053388091</v>
      </c>
      <c r="J46">
        <f t="shared" si="7"/>
        <v>0.17164287474332648</v>
      </c>
      <c r="K46">
        <f>J46+'PA Frack Wells'!$D$61</f>
        <v>0.22953559437170989</v>
      </c>
    </row>
    <row r="47" spans="1:12">
      <c r="A47" s="19">
        <v>40359</v>
      </c>
      <c r="B47" s="24">
        <v>212020</v>
      </c>
      <c r="C47" s="24">
        <f t="shared" si="0"/>
        <v>29726</v>
      </c>
      <c r="D47" s="24">
        <f t="shared" si="1"/>
        <v>29726000000</v>
      </c>
      <c r="E47" s="25">
        <f t="shared" si="2"/>
        <v>610390.14373716631</v>
      </c>
      <c r="F47" s="25">
        <f t="shared" si="3"/>
        <v>15259.753593429159</v>
      </c>
      <c r="G47" s="25">
        <f t="shared" si="4"/>
        <v>14954.558521560575</v>
      </c>
      <c r="H47" s="25">
        <f t="shared" si="5"/>
        <v>418727.63860369613</v>
      </c>
      <c r="I47">
        <f t="shared" si="6"/>
        <v>0.41872763860369611</v>
      </c>
      <c r="J47">
        <f t="shared" si="7"/>
        <v>0.35890940451745379</v>
      </c>
      <c r="K47">
        <f>J47+'PA Frack Wells'!$D$61</f>
        <v>0.41680212414583717</v>
      </c>
    </row>
    <row r="48" spans="1:12">
      <c r="A48" s="19">
        <v>40724</v>
      </c>
      <c r="B48" s="24">
        <v>193986</v>
      </c>
      <c r="C48" s="24">
        <f t="shared" si="0"/>
        <v>11692</v>
      </c>
      <c r="D48" s="24">
        <f t="shared" si="1"/>
        <v>11692000000</v>
      </c>
      <c r="E48" s="25">
        <f t="shared" si="2"/>
        <v>240082.13552361395</v>
      </c>
      <c r="F48" s="25">
        <f t="shared" si="3"/>
        <v>6002.0533880903495</v>
      </c>
      <c r="G48" s="25">
        <f t="shared" si="4"/>
        <v>5882.012320328542</v>
      </c>
      <c r="H48" s="25">
        <f t="shared" si="5"/>
        <v>164696.34496919918</v>
      </c>
      <c r="I48">
        <f t="shared" si="6"/>
        <v>0.16469634496919919</v>
      </c>
      <c r="J48">
        <f t="shared" si="7"/>
        <v>0.141168295687885</v>
      </c>
      <c r="K48">
        <f>J48+'PA Frack Wells'!$D$61</f>
        <v>0.19906101531626841</v>
      </c>
    </row>
    <row r="49" spans="1:13">
      <c r="A49" s="19">
        <v>41090</v>
      </c>
      <c r="B49" s="24">
        <v>208946</v>
      </c>
      <c r="C49" s="24">
        <f t="shared" si="0"/>
        <v>26652</v>
      </c>
      <c r="D49" s="24">
        <f t="shared" si="1"/>
        <v>26652000000</v>
      </c>
      <c r="E49" s="25">
        <f t="shared" si="2"/>
        <v>547268.99383983575</v>
      </c>
      <c r="F49" s="25">
        <f t="shared" si="3"/>
        <v>13681.724845995894</v>
      </c>
      <c r="G49" s="25">
        <f t="shared" si="4"/>
        <v>13408.090349075976</v>
      </c>
      <c r="H49" s="25">
        <f t="shared" si="5"/>
        <v>375426.5297741273</v>
      </c>
      <c r="I49">
        <f t="shared" si="6"/>
        <v>0.37542652977412727</v>
      </c>
      <c r="J49">
        <f t="shared" si="7"/>
        <v>0.32179416837782338</v>
      </c>
      <c r="K49">
        <f>J49+'PA Frack Wells'!$D$61</f>
        <v>0.37968688800620676</v>
      </c>
    </row>
    <row r="50" spans="1:13">
      <c r="A50" s="19">
        <v>41455</v>
      </c>
      <c r="B50" s="24">
        <v>197356</v>
      </c>
      <c r="C50" s="24">
        <f t="shared" si="0"/>
        <v>15062</v>
      </c>
      <c r="D50" s="24">
        <f t="shared" si="1"/>
        <v>15062000000</v>
      </c>
      <c r="E50" s="25">
        <f t="shared" si="2"/>
        <v>309281.31416837784</v>
      </c>
      <c r="F50" s="25">
        <f t="shared" si="3"/>
        <v>7732.0328542094467</v>
      </c>
      <c r="G50" s="25">
        <f t="shared" si="4"/>
        <v>7577.3921971252576</v>
      </c>
      <c r="H50" s="25">
        <f t="shared" si="5"/>
        <v>212166.98151950722</v>
      </c>
      <c r="I50">
        <f t="shared" si="6"/>
        <v>0.21216698151950722</v>
      </c>
      <c r="J50">
        <f t="shared" si="7"/>
        <v>0.18185741273100617</v>
      </c>
      <c r="K50">
        <f>J50+'PA Frack Wells'!$D$61</f>
        <v>0.23975013235938958</v>
      </c>
    </row>
    <row r="51" spans="1:13">
      <c r="A51" s="19">
        <v>41820</v>
      </c>
      <c r="B51" s="24">
        <v>207103</v>
      </c>
      <c r="C51" s="24">
        <f t="shared" si="0"/>
        <v>24809</v>
      </c>
      <c r="D51" s="24">
        <f t="shared" si="1"/>
        <v>24809000000</v>
      </c>
      <c r="E51" s="25">
        <f t="shared" si="2"/>
        <v>509425.05133470224</v>
      </c>
      <c r="F51" s="25">
        <f t="shared" si="3"/>
        <v>12735.626283367557</v>
      </c>
      <c r="G51" s="25">
        <f t="shared" si="4"/>
        <v>12480.913757700206</v>
      </c>
      <c r="H51" s="25">
        <f t="shared" si="5"/>
        <v>349465.58521560574</v>
      </c>
      <c r="I51">
        <f t="shared" si="6"/>
        <v>0.34946558521560572</v>
      </c>
      <c r="J51">
        <f t="shared" si="7"/>
        <v>0.29954193018480491</v>
      </c>
      <c r="K51">
        <f>J51+'PA Frack Wells'!$D$61</f>
        <v>0.35743464981318829</v>
      </c>
    </row>
    <row r="52" spans="1:13">
      <c r="A52" s="19">
        <v>42185</v>
      </c>
      <c r="B52" s="24">
        <v>215005</v>
      </c>
      <c r="C52" s="24">
        <f t="shared" si="0"/>
        <v>32711</v>
      </c>
      <c r="D52" s="24">
        <f t="shared" si="1"/>
        <v>32711000000</v>
      </c>
      <c r="E52" s="25">
        <f t="shared" si="2"/>
        <v>671683.77823408623</v>
      </c>
      <c r="F52" s="25">
        <f t="shared" si="3"/>
        <v>16792.094455852155</v>
      </c>
      <c r="G52" s="25">
        <f t="shared" si="4"/>
        <v>16456.252566735111</v>
      </c>
      <c r="H52" s="25">
        <f t="shared" si="5"/>
        <v>460775.07186858309</v>
      </c>
      <c r="I52">
        <f t="shared" si="6"/>
        <v>0.46077507186858307</v>
      </c>
      <c r="J52">
        <f t="shared" si="7"/>
        <v>0.39495006160164259</v>
      </c>
      <c r="K52">
        <f>J52+'PA Frack Wells'!$D$61</f>
        <v>0.45284278123002597</v>
      </c>
    </row>
    <row r="53" spans="1:13">
      <c r="A53" s="19">
        <v>42551</v>
      </c>
      <c r="B53" s="24">
        <v>219024</v>
      </c>
      <c r="C53" s="24">
        <f t="shared" si="0"/>
        <v>36730</v>
      </c>
      <c r="D53" s="24">
        <f t="shared" si="1"/>
        <v>36730000000</v>
      </c>
      <c r="E53" s="25">
        <f t="shared" si="2"/>
        <v>754209.44558521558</v>
      </c>
      <c r="F53" s="25">
        <f t="shared" si="3"/>
        <v>18855.23613963039</v>
      </c>
      <c r="G53" s="25">
        <f t="shared" si="4"/>
        <v>18478.131416837783</v>
      </c>
      <c r="H53" s="25">
        <f t="shared" si="5"/>
        <v>517387.67967145791</v>
      </c>
      <c r="I53">
        <f t="shared" si="6"/>
        <v>0.51738767967145793</v>
      </c>
      <c r="J53">
        <f t="shared" si="7"/>
        <v>0.44347515400410675</v>
      </c>
      <c r="K53">
        <f>J53+'PA Frack Wells'!$D$61</f>
        <v>0.50136787363249014</v>
      </c>
    </row>
    <row r="54" spans="1:13">
      <c r="A54" s="19">
        <v>42916</v>
      </c>
      <c r="B54" s="24">
        <v>222877</v>
      </c>
      <c r="C54" s="24">
        <f t="shared" si="0"/>
        <v>40583</v>
      </c>
      <c r="D54" s="24">
        <f t="shared" si="1"/>
        <v>40583000000</v>
      </c>
      <c r="E54" s="25">
        <f t="shared" si="2"/>
        <v>833326.48870636546</v>
      </c>
      <c r="F54" s="25">
        <f t="shared" si="3"/>
        <v>20833.162217659137</v>
      </c>
      <c r="G54" s="25">
        <f t="shared" si="4"/>
        <v>20416.498973305956</v>
      </c>
      <c r="H54" s="25">
        <f t="shared" si="5"/>
        <v>571661.97125256679</v>
      </c>
      <c r="I54">
        <f t="shared" si="6"/>
        <v>0.57166197125256679</v>
      </c>
      <c r="J54">
        <f t="shared" si="7"/>
        <v>0.48999597535934292</v>
      </c>
      <c r="K54">
        <f>J54+'PA Frack Wells'!$D$61</f>
        <v>0.5478886949877263</v>
      </c>
    </row>
    <row r="55" spans="1:13">
      <c r="B55" s="24"/>
    </row>
    <row r="57" spans="1:13" ht="15" thickBot="1">
      <c r="B57" s="26" t="s">
        <v>72</v>
      </c>
      <c r="C57" s="26" t="s">
        <v>73</v>
      </c>
      <c r="D57" s="26"/>
      <c r="E57" s="27"/>
      <c r="F57" s="27"/>
      <c r="G57" s="212" t="s">
        <v>49</v>
      </c>
      <c r="H57" s="212"/>
      <c r="I57" s="212"/>
      <c r="J57" s="212"/>
      <c r="K57" s="212"/>
      <c r="L57" s="212"/>
      <c r="M57" s="212"/>
    </row>
    <row r="58" spans="1:13">
      <c r="B58" s="20" t="s">
        <v>74</v>
      </c>
      <c r="C58" s="28">
        <f>6/7</f>
        <v>0.8571428571428571</v>
      </c>
      <c r="D58" s="29"/>
      <c r="E58" s="30"/>
      <c r="F58" s="30"/>
      <c r="G58" s="31" t="s">
        <v>75</v>
      </c>
      <c r="H58" s="32"/>
      <c r="I58" s="32"/>
      <c r="J58" s="32"/>
      <c r="K58" s="32"/>
      <c r="L58" s="32"/>
      <c r="M58" s="32"/>
    </row>
    <row r="59" spans="1:13" ht="12.75" customHeight="1">
      <c r="G59" s="213" t="s">
        <v>50</v>
      </c>
      <c r="H59" s="213"/>
      <c r="I59" s="213"/>
      <c r="J59" s="213"/>
      <c r="K59" s="213"/>
      <c r="L59" s="213"/>
      <c r="M59" s="213"/>
    </row>
    <row r="60" spans="1:13" ht="12.75" customHeight="1">
      <c r="B60" s="20" t="s">
        <v>51</v>
      </c>
      <c r="C60" s="20">
        <v>2.5000000000000001E-2</v>
      </c>
      <c r="G60" s="213" t="s">
        <v>52</v>
      </c>
      <c r="H60" s="213"/>
      <c r="I60" s="213"/>
      <c r="J60" s="213"/>
      <c r="K60" s="213"/>
      <c r="L60" s="213"/>
      <c r="M60" s="213"/>
    </row>
    <row r="61" spans="1:13">
      <c r="B61" s="20" t="s">
        <v>53</v>
      </c>
      <c r="C61" s="20">
        <v>26.3</v>
      </c>
    </row>
    <row r="62" spans="1:13">
      <c r="B62" s="20" t="s">
        <v>54</v>
      </c>
      <c r="C62" s="20">
        <v>28</v>
      </c>
      <c r="G62" t="s">
        <v>55</v>
      </c>
    </row>
    <row r="63" spans="1:13" ht="12.75" customHeight="1">
      <c r="B63" s="20" t="s">
        <v>56</v>
      </c>
      <c r="C63" s="21">
        <v>48700</v>
      </c>
      <c r="D63" t="s">
        <v>57</v>
      </c>
      <c r="G63" s="213" t="s">
        <v>58</v>
      </c>
      <c r="H63" s="213"/>
      <c r="I63" s="213"/>
      <c r="J63" s="213"/>
      <c r="K63" s="213"/>
      <c r="L63" s="213"/>
      <c r="M63" s="213"/>
    </row>
    <row r="64" spans="1:13" ht="12.75" customHeight="1">
      <c r="B64" s="20" t="s">
        <v>59</v>
      </c>
      <c r="C64" s="20">
        <v>0.98</v>
      </c>
      <c r="D64" s="3" t="s">
        <v>60</v>
      </c>
      <c r="G64" s="213"/>
      <c r="H64" s="213"/>
      <c r="I64" s="213"/>
      <c r="J64" s="213"/>
      <c r="K64" s="213"/>
      <c r="L64" s="213"/>
    </row>
    <row r="65" spans="2:9">
      <c r="D65" s="3" t="s">
        <v>76</v>
      </c>
      <c r="G65" s="12" t="s">
        <v>77</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kNzogqqdNeXFhtRlc4TKcfU5CMcB64HpPMHa8gRfj87W91LURhjhLhYAgI5VgtVxTYEqE0qrwUbIi8/yeyQidA==" saltValue="N5F9i/GEBzmzPvd+MMMeVw==" spinCount="100000" sheet="1" objects="1" scenarios="1"/>
  <mergeCells count="7">
    <mergeCell ref="B70:I70"/>
    <mergeCell ref="L34:L43"/>
    <mergeCell ref="G57:M57"/>
    <mergeCell ref="G59:M59"/>
    <mergeCell ref="G60:M60"/>
    <mergeCell ref="G63:M63"/>
    <mergeCell ref="G64:L64"/>
  </mergeCells>
  <hyperlinks>
    <hyperlink ref="A1" location="Contents!A1" display="Back to Contents" xr:uid="{00000000-0004-0000-0200-000000000000}"/>
    <hyperlink ref="G60" r:id="rId1" xr:uid="{00000000-0004-0000-0200-000001000000}"/>
    <hyperlink ref="G63" r:id="rId2" xr:uid="{00000000-0004-0000-0200-000002000000}"/>
    <hyperlink ref="G65" r:id="rId3" xr:uid="{00000000-0004-0000-0200-000003000000}"/>
    <hyperlink ref="B71" r:id="rId4" xr:uid="{00000000-0004-0000-0200-000004000000}"/>
    <hyperlink ref="B75" r:id="rId5" xr:uid="{00000000-0004-0000-0200-000005000000}"/>
  </hyperlinks>
  <pageMargins left="0.70000000000000007" right="0.70000000000000007" top="1.1437000000000002" bottom="1.1437000000000002" header="0.75000000000000011" footer="0.75000000000000011"/>
  <pageSetup fitToWidth="0" fitToHeight="0" orientation="portrait"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5"/>
  <sheetViews>
    <sheetView topLeftCell="C37" workbookViewId="0">
      <selection activeCell="K54" sqref="K54"/>
    </sheetView>
  </sheetViews>
  <sheetFormatPr defaultRowHeight="14.25"/>
  <cols>
    <col min="1" max="1" width="14" customWidth="1"/>
    <col min="2" max="2" width="33.75" customWidth="1"/>
    <col min="3" max="3" width="9.875" customWidth="1"/>
    <col min="4" max="4" width="14.75" customWidth="1"/>
    <col min="5" max="5" width="10.5" customWidth="1"/>
    <col min="6" max="7" width="8.625" customWidth="1"/>
    <col min="8" max="8" width="11.25" customWidth="1"/>
    <col min="9" max="9" width="8" customWidth="1"/>
    <col min="10" max="10" width="10.875"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ht="12.75" customHeight="1">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B44-$B$43</f>
        <v>18759</v>
      </c>
      <c r="D44" s="24">
        <f t="shared" ref="D44:D54" si="1">C44*1000000</f>
        <v>18759000000</v>
      </c>
      <c r="E44" s="25">
        <f t="shared" ref="E44:E54" si="2">D44/$C$63</f>
        <v>385195.07186858315</v>
      </c>
      <c r="F44" s="25">
        <f t="shared" ref="F44:F54" si="3">E44*$C$60</f>
        <v>9629.8767967145795</v>
      </c>
      <c r="G44" s="25">
        <f t="shared" ref="G44:G54" si="4">F44*$C$64</f>
        <v>9437.2792607802876</v>
      </c>
      <c r="H44" s="25">
        <f t="shared" ref="H44:H54" si="5">G44*$C$62</f>
        <v>792731.4579055442</v>
      </c>
      <c r="I44">
        <f t="shared" ref="I44:I54" si="6">H44/1000000</f>
        <v>0.79273145790554422</v>
      </c>
      <c r="J44">
        <f t="shared" ref="J44:J54" si="7">I44*$C$58</f>
        <v>0.67948410677618076</v>
      </c>
      <c r="K44">
        <f>J44+'PA Frack Wells (84)'!$D$61</f>
        <v>0.74135128771444225</v>
      </c>
    </row>
    <row r="45" spans="1:12">
      <c r="A45" s="19">
        <v>39629</v>
      </c>
      <c r="B45" s="24">
        <v>196067</v>
      </c>
      <c r="C45" s="24">
        <f t="shared" si="0"/>
        <v>13773</v>
      </c>
      <c r="D45" s="24">
        <f t="shared" si="1"/>
        <v>13773000000</v>
      </c>
      <c r="E45" s="25">
        <f t="shared" si="2"/>
        <v>282813.14168377826</v>
      </c>
      <c r="F45" s="25">
        <f t="shared" si="3"/>
        <v>7070.3285420944567</v>
      </c>
      <c r="G45" s="25">
        <f t="shared" si="4"/>
        <v>6928.9219712525673</v>
      </c>
      <c r="H45" s="25">
        <f t="shared" si="5"/>
        <v>582029.4455852157</v>
      </c>
      <c r="I45">
        <f t="shared" si="6"/>
        <v>0.58202944558521574</v>
      </c>
      <c r="J45">
        <f t="shared" si="7"/>
        <v>0.49888238193018491</v>
      </c>
      <c r="K45">
        <f>J45+'PA Frack Wells (84)'!$D$61</f>
        <v>0.56074956286844646</v>
      </c>
    </row>
    <row r="46" spans="1:12">
      <c r="A46" s="19">
        <v>39994</v>
      </c>
      <c r="B46" s="24">
        <v>196510</v>
      </c>
      <c r="C46" s="24">
        <f t="shared" si="0"/>
        <v>14216</v>
      </c>
      <c r="D46" s="24">
        <f t="shared" si="1"/>
        <v>14216000000</v>
      </c>
      <c r="E46" s="25">
        <f t="shared" si="2"/>
        <v>291909.65092402464</v>
      </c>
      <c r="F46" s="25">
        <f t="shared" si="3"/>
        <v>7297.7412731006161</v>
      </c>
      <c r="G46" s="25">
        <f t="shared" si="4"/>
        <v>7151.7864476386039</v>
      </c>
      <c r="H46" s="25">
        <f t="shared" si="5"/>
        <v>600750.06160164275</v>
      </c>
      <c r="I46">
        <f t="shared" si="6"/>
        <v>0.60075006160164279</v>
      </c>
      <c r="J46">
        <f t="shared" si="7"/>
        <v>0.51492862422997954</v>
      </c>
      <c r="K46">
        <f>J46+'PA Frack Wells (84)'!$D$61</f>
        <v>0.57679580516824103</v>
      </c>
    </row>
    <row r="47" spans="1:12">
      <c r="A47" s="19">
        <v>40359</v>
      </c>
      <c r="B47" s="24">
        <v>212020</v>
      </c>
      <c r="C47" s="24">
        <f t="shared" si="0"/>
        <v>29726</v>
      </c>
      <c r="D47" s="24">
        <f t="shared" si="1"/>
        <v>29726000000</v>
      </c>
      <c r="E47" s="25">
        <f t="shared" si="2"/>
        <v>610390.14373716631</v>
      </c>
      <c r="F47" s="25">
        <f t="shared" si="3"/>
        <v>15259.753593429159</v>
      </c>
      <c r="G47" s="25">
        <f t="shared" si="4"/>
        <v>14954.558521560575</v>
      </c>
      <c r="H47" s="25">
        <f t="shared" si="5"/>
        <v>1256182.9158110884</v>
      </c>
      <c r="I47">
        <f t="shared" si="6"/>
        <v>1.2561829158110884</v>
      </c>
      <c r="J47">
        <f t="shared" si="7"/>
        <v>1.0767282135523615</v>
      </c>
      <c r="K47">
        <f>J47+'PA Frack Wells (84)'!$D$61</f>
        <v>1.1385953944906231</v>
      </c>
    </row>
    <row r="48" spans="1:12">
      <c r="A48" s="19">
        <v>40724</v>
      </c>
      <c r="B48" s="24">
        <v>193986</v>
      </c>
      <c r="C48" s="24">
        <f t="shared" si="0"/>
        <v>11692</v>
      </c>
      <c r="D48" s="24">
        <f t="shared" si="1"/>
        <v>11692000000</v>
      </c>
      <c r="E48" s="25">
        <f t="shared" si="2"/>
        <v>240082.13552361395</v>
      </c>
      <c r="F48" s="25">
        <f t="shared" si="3"/>
        <v>6002.0533880903495</v>
      </c>
      <c r="G48" s="25">
        <f t="shared" si="4"/>
        <v>5882.012320328542</v>
      </c>
      <c r="H48" s="25">
        <f t="shared" si="5"/>
        <v>494089.03490759752</v>
      </c>
      <c r="I48">
        <f t="shared" si="6"/>
        <v>0.49408903490759754</v>
      </c>
      <c r="J48">
        <f t="shared" si="7"/>
        <v>0.42350488706365502</v>
      </c>
      <c r="K48">
        <f>J48+'PA Frack Wells (84)'!$D$61</f>
        <v>0.48537206800191657</v>
      </c>
    </row>
    <row r="49" spans="1:13">
      <c r="A49" s="19">
        <v>41090</v>
      </c>
      <c r="B49" s="24">
        <v>208946</v>
      </c>
      <c r="C49" s="24">
        <f t="shared" si="0"/>
        <v>26652</v>
      </c>
      <c r="D49" s="24">
        <f t="shared" si="1"/>
        <v>26652000000</v>
      </c>
      <c r="E49" s="25">
        <f t="shared" si="2"/>
        <v>547268.99383983575</v>
      </c>
      <c r="F49" s="25">
        <f t="shared" si="3"/>
        <v>13681.724845995894</v>
      </c>
      <c r="G49" s="25">
        <f t="shared" si="4"/>
        <v>13408.090349075976</v>
      </c>
      <c r="H49" s="25">
        <f t="shared" si="5"/>
        <v>1126279.5893223819</v>
      </c>
      <c r="I49">
        <f t="shared" si="6"/>
        <v>1.1262795893223818</v>
      </c>
      <c r="J49">
        <f t="shared" si="7"/>
        <v>0.96538250513347013</v>
      </c>
      <c r="K49">
        <f>J49+'PA Frack Wells (84)'!$D$61</f>
        <v>1.0272496860717317</v>
      </c>
    </row>
    <row r="50" spans="1:13">
      <c r="A50" s="19">
        <v>41455</v>
      </c>
      <c r="B50" s="24">
        <v>197356</v>
      </c>
      <c r="C50" s="24">
        <f t="shared" si="0"/>
        <v>15062</v>
      </c>
      <c r="D50" s="24">
        <f t="shared" si="1"/>
        <v>15062000000</v>
      </c>
      <c r="E50" s="25">
        <f t="shared" si="2"/>
        <v>309281.31416837784</v>
      </c>
      <c r="F50" s="25">
        <f t="shared" si="3"/>
        <v>7732.0328542094467</v>
      </c>
      <c r="G50" s="25">
        <f t="shared" si="4"/>
        <v>7577.3921971252576</v>
      </c>
      <c r="H50" s="25">
        <f t="shared" si="5"/>
        <v>636500.94455852162</v>
      </c>
      <c r="I50">
        <f t="shared" si="6"/>
        <v>0.63650094455852158</v>
      </c>
      <c r="J50">
        <f t="shared" si="7"/>
        <v>0.54557223819301848</v>
      </c>
      <c r="K50">
        <f>J50+'PA Frack Wells (84)'!$D$61</f>
        <v>0.60743941913127997</v>
      </c>
    </row>
    <row r="51" spans="1:13">
      <c r="A51" s="19">
        <v>41820</v>
      </c>
      <c r="B51" s="24">
        <v>207103</v>
      </c>
      <c r="C51" s="24">
        <f t="shared" si="0"/>
        <v>24809</v>
      </c>
      <c r="D51" s="24">
        <f t="shared" si="1"/>
        <v>24809000000</v>
      </c>
      <c r="E51" s="25">
        <f t="shared" si="2"/>
        <v>509425.05133470224</v>
      </c>
      <c r="F51" s="25">
        <f t="shared" si="3"/>
        <v>12735.626283367557</v>
      </c>
      <c r="G51" s="25">
        <f t="shared" si="4"/>
        <v>12480.913757700206</v>
      </c>
      <c r="H51" s="25">
        <f t="shared" si="5"/>
        <v>1048396.7556468173</v>
      </c>
      <c r="I51">
        <f t="shared" si="6"/>
        <v>1.0483967556468172</v>
      </c>
      <c r="J51">
        <f t="shared" si="7"/>
        <v>0.89862579055441472</v>
      </c>
      <c r="K51">
        <f>J51+'PA Frack Wells (84)'!$D$61</f>
        <v>0.96049297149267621</v>
      </c>
    </row>
    <row r="52" spans="1:13">
      <c r="A52" s="19">
        <v>42185</v>
      </c>
      <c r="B52" s="24">
        <v>215005</v>
      </c>
      <c r="C52" s="24">
        <f t="shared" si="0"/>
        <v>32711</v>
      </c>
      <c r="D52" s="24">
        <f t="shared" si="1"/>
        <v>32711000000</v>
      </c>
      <c r="E52" s="25">
        <f t="shared" si="2"/>
        <v>671683.77823408623</v>
      </c>
      <c r="F52" s="25">
        <f t="shared" si="3"/>
        <v>16792.094455852155</v>
      </c>
      <c r="G52" s="25">
        <f t="shared" si="4"/>
        <v>16456.252566735111</v>
      </c>
      <c r="H52" s="25">
        <f t="shared" si="5"/>
        <v>1382325.2156057493</v>
      </c>
      <c r="I52">
        <f t="shared" si="6"/>
        <v>1.3823252156057493</v>
      </c>
      <c r="J52">
        <f t="shared" si="7"/>
        <v>1.184850184804928</v>
      </c>
      <c r="K52">
        <f>J52+'PA Frack Wells (84)'!$D$61</f>
        <v>1.2467173657431896</v>
      </c>
    </row>
    <row r="53" spans="1:13">
      <c r="A53" s="19">
        <v>42551</v>
      </c>
      <c r="B53" s="24">
        <v>219024</v>
      </c>
      <c r="C53" s="24">
        <f t="shared" si="0"/>
        <v>36730</v>
      </c>
      <c r="D53" s="24">
        <f t="shared" si="1"/>
        <v>36730000000</v>
      </c>
      <c r="E53" s="25">
        <f t="shared" si="2"/>
        <v>754209.44558521558</v>
      </c>
      <c r="F53" s="25">
        <f t="shared" si="3"/>
        <v>18855.23613963039</v>
      </c>
      <c r="G53" s="25">
        <f t="shared" si="4"/>
        <v>18478.131416837783</v>
      </c>
      <c r="H53" s="25">
        <f t="shared" si="5"/>
        <v>1552163.0390143737</v>
      </c>
      <c r="I53">
        <f t="shared" si="6"/>
        <v>1.5521630390143737</v>
      </c>
      <c r="J53">
        <f t="shared" si="7"/>
        <v>1.3304254620123201</v>
      </c>
      <c r="K53">
        <f>J53+'PA Frack Wells (84)'!$D$61</f>
        <v>1.3922926429505817</v>
      </c>
    </row>
    <row r="54" spans="1:13">
      <c r="A54" s="19">
        <v>42916</v>
      </c>
      <c r="B54" s="24">
        <v>222877</v>
      </c>
      <c r="C54" s="24">
        <f t="shared" si="0"/>
        <v>40583</v>
      </c>
      <c r="D54" s="24">
        <f t="shared" si="1"/>
        <v>40583000000</v>
      </c>
      <c r="E54" s="25">
        <f t="shared" si="2"/>
        <v>833326.48870636546</v>
      </c>
      <c r="F54" s="25">
        <f t="shared" si="3"/>
        <v>20833.162217659137</v>
      </c>
      <c r="G54" s="25">
        <f t="shared" si="4"/>
        <v>20416.498973305956</v>
      </c>
      <c r="H54" s="25">
        <f t="shared" si="5"/>
        <v>1714985.9137577002</v>
      </c>
      <c r="I54">
        <f t="shared" si="6"/>
        <v>1.7149859137577002</v>
      </c>
      <c r="J54">
        <f t="shared" si="7"/>
        <v>1.4699879260780286</v>
      </c>
      <c r="K54">
        <f>J54+'PA Frack Wells (84)'!$D$61</f>
        <v>1.5318551070162902</v>
      </c>
    </row>
    <row r="55" spans="1:13">
      <c r="B55" s="24"/>
    </row>
    <row r="57" spans="1:13" ht="15" thickBot="1">
      <c r="B57" s="26" t="s">
        <v>72</v>
      </c>
      <c r="C57" s="26" t="s">
        <v>73</v>
      </c>
      <c r="D57" s="26"/>
      <c r="E57" s="27"/>
      <c r="F57" s="27"/>
      <c r="G57" s="212" t="s">
        <v>49</v>
      </c>
      <c r="H57" s="212"/>
      <c r="I57" s="212"/>
      <c r="J57" s="212"/>
      <c r="K57" s="212"/>
      <c r="L57" s="212"/>
      <c r="M57" s="212"/>
    </row>
    <row r="58" spans="1:13">
      <c r="B58" s="20" t="s">
        <v>74</v>
      </c>
      <c r="C58" s="28">
        <f>6/7</f>
        <v>0.8571428571428571</v>
      </c>
      <c r="D58" s="29"/>
      <c r="E58" s="30"/>
      <c r="F58" s="30"/>
      <c r="G58" s="31" t="s">
        <v>75</v>
      </c>
      <c r="H58" s="32"/>
      <c r="I58" s="32"/>
      <c r="J58" s="32"/>
      <c r="K58" s="32"/>
      <c r="L58" s="32"/>
      <c r="M58" s="32"/>
    </row>
    <row r="59" spans="1:13" ht="12.75" customHeight="1">
      <c r="G59" s="213" t="s">
        <v>50</v>
      </c>
      <c r="H59" s="213"/>
      <c r="I59" s="213"/>
      <c r="J59" s="213"/>
      <c r="K59" s="213"/>
      <c r="L59" s="213"/>
      <c r="M59" s="213"/>
    </row>
    <row r="60" spans="1:13" ht="12.75" customHeight="1">
      <c r="B60" s="20" t="s">
        <v>51</v>
      </c>
      <c r="C60" s="20">
        <v>2.5000000000000001E-2</v>
      </c>
      <c r="G60" s="213" t="s">
        <v>52</v>
      </c>
      <c r="H60" s="213"/>
      <c r="I60" s="213"/>
      <c r="J60" s="213"/>
      <c r="K60" s="213"/>
      <c r="L60" s="213"/>
      <c r="M60" s="213"/>
    </row>
    <row r="61" spans="1:13">
      <c r="B61" s="20" t="s">
        <v>53</v>
      </c>
      <c r="C61" s="20">
        <v>26.3</v>
      </c>
    </row>
    <row r="62" spans="1:13">
      <c r="B62" s="20" t="s">
        <v>54</v>
      </c>
      <c r="C62" s="20">
        <v>84</v>
      </c>
      <c r="G62" s="12" t="s">
        <v>81</v>
      </c>
    </row>
    <row r="63" spans="1:13" ht="12.75" customHeight="1">
      <c r="B63" s="20" t="s">
        <v>56</v>
      </c>
      <c r="C63" s="21">
        <v>48700</v>
      </c>
      <c r="D63" t="s">
        <v>57</v>
      </c>
      <c r="G63" s="213" t="s">
        <v>58</v>
      </c>
      <c r="H63" s="213"/>
      <c r="I63" s="213"/>
      <c r="J63" s="213"/>
      <c r="K63" s="213"/>
      <c r="L63" s="213"/>
      <c r="M63" s="213"/>
    </row>
    <row r="64" spans="1:13" ht="12.75" customHeight="1">
      <c r="B64" s="20" t="s">
        <v>59</v>
      </c>
      <c r="C64" s="20">
        <v>0.98</v>
      </c>
      <c r="D64" s="3" t="s">
        <v>60</v>
      </c>
      <c r="G64" s="213"/>
      <c r="H64" s="213"/>
      <c r="I64" s="213"/>
      <c r="J64" s="213"/>
      <c r="K64" s="213"/>
      <c r="L64" s="213"/>
    </row>
    <row r="65" spans="2:9">
      <c r="D65" s="3" t="s">
        <v>76</v>
      </c>
      <c r="G65" s="12" t="s">
        <v>77</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wCfy9xdYhfrTv9jtbZHnqNf+SjsgmUGD+qMd2xHciU/OWHewXfHXEW8Nf+5cnkNfTmbKlQ4p1gDq2Ql+kZRDNw==" saltValue="QeI0dBWRd+VlkO9Bk7m75A==" spinCount="100000" sheet="1" objects="1" scenarios="1"/>
  <mergeCells count="7">
    <mergeCell ref="B70:I70"/>
    <mergeCell ref="L34:L43"/>
    <mergeCell ref="G57:M57"/>
    <mergeCell ref="G59:M59"/>
    <mergeCell ref="G60:M60"/>
    <mergeCell ref="G63:M63"/>
    <mergeCell ref="G64:L64"/>
  </mergeCells>
  <hyperlinks>
    <hyperlink ref="A1" location="Contents!A1" display="Back to Contents" xr:uid="{00000000-0004-0000-0300-000000000000}"/>
    <hyperlink ref="G60" r:id="rId1" xr:uid="{00000000-0004-0000-0300-000001000000}"/>
    <hyperlink ref="G62" r:id="rId2" xr:uid="{00000000-0004-0000-0300-000002000000}"/>
    <hyperlink ref="G63" r:id="rId3" xr:uid="{00000000-0004-0000-0300-000003000000}"/>
    <hyperlink ref="G65" r:id="rId4" xr:uid="{00000000-0004-0000-0300-000004000000}"/>
    <hyperlink ref="B71" r:id="rId5" xr:uid="{00000000-0004-0000-0300-000005000000}"/>
    <hyperlink ref="B75" r:id="rId6" xr:uid="{00000000-0004-0000-0300-000006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5"/>
  <sheetViews>
    <sheetView topLeftCell="A40" workbookViewId="0">
      <selection activeCell="G64" sqref="G64:K64"/>
    </sheetView>
  </sheetViews>
  <sheetFormatPr defaultRowHeight="14.25"/>
  <cols>
    <col min="1" max="1" width="14" customWidth="1"/>
    <col min="2" max="2" width="33.75" customWidth="1"/>
    <col min="3" max="3" width="9.875" customWidth="1"/>
    <col min="4" max="4" width="14.125" customWidth="1"/>
    <col min="5" max="5" width="10.5" customWidth="1"/>
    <col min="6" max="6" width="9.625" customWidth="1"/>
    <col min="7" max="7" width="9.25" customWidth="1"/>
    <col min="8" max="8" width="10.5" customWidth="1"/>
    <col min="9" max="10" width="8"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ht="12.75" customHeight="1">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B44-$B$37</f>
        <v>-11080</v>
      </c>
      <c r="D44" s="24">
        <f t="shared" ref="D44:D54" si="1">C44*1000000</f>
        <v>-11080000000</v>
      </c>
      <c r="E44" s="25">
        <f t="shared" ref="E44:E54" si="2">D44/$C$63</f>
        <v>-227515.40041067763</v>
      </c>
      <c r="F44" s="25">
        <f t="shared" ref="F44:F54" si="3">E44*$C$60</f>
        <v>-5687.8850102669412</v>
      </c>
      <c r="G44" s="25">
        <f t="shared" ref="G44:G54" si="4">F44*$C$64</f>
        <v>-5574.1273100616027</v>
      </c>
      <c r="H44" s="25">
        <f t="shared" ref="H44:H54" si="5">G44*$C$62</f>
        <v>-156075.56468172488</v>
      </c>
      <c r="I44">
        <f t="shared" ref="I44:I54" si="6">H44/1000000</f>
        <v>-0.15607556468172487</v>
      </c>
      <c r="J44">
        <f t="shared" ref="J44:J54" si="7">I44*$C$58</f>
        <v>-0.13377905544147844</v>
      </c>
      <c r="K44">
        <f>J44+'PA Frack Wells'!$D$67</f>
        <v>-9.4356392013816626E-2</v>
      </c>
    </row>
    <row r="45" spans="1:12">
      <c r="A45" s="19">
        <v>39629</v>
      </c>
      <c r="B45" s="24">
        <v>196067</v>
      </c>
      <c r="C45" s="24">
        <f t="shared" si="0"/>
        <v>-16066</v>
      </c>
      <c r="D45" s="24">
        <f t="shared" si="1"/>
        <v>-16066000000</v>
      </c>
      <c r="E45" s="25">
        <f t="shared" si="2"/>
        <v>-329897.33059548255</v>
      </c>
      <c r="F45" s="25">
        <f t="shared" si="3"/>
        <v>-8247.4332648870641</v>
      </c>
      <c r="G45" s="25">
        <f t="shared" si="4"/>
        <v>-8082.4845995893229</v>
      </c>
      <c r="H45" s="25">
        <f t="shared" si="5"/>
        <v>-226309.56878850103</v>
      </c>
      <c r="I45">
        <f t="shared" si="6"/>
        <v>-0.22630956878850103</v>
      </c>
      <c r="J45">
        <f t="shared" si="7"/>
        <v>-0.19397963039014374</v>
      </c>
      <c r="K45">
        <f>J45+'PA Frack Wells'!$D$67</f>
        <v>-0.15455696696248192</v>
      </c>
    </row>
    <row r="46" spans="1:12">
      <c r="A46" s="19">
        <v>39994</v>
      </c>
      <c r="B46" s="24">
        <v>196510</v>
      </c>
      <c r="C46" s="24">
        <f t="shared" si="0"/>
        <v>-15623</v>
      </c>
      <c r="D46" s="24">
        <f t="shared" si="1"/>
        <v>-15623000000</v>
      </c>
      <c r="E46" s="25">
        <f t="shared" si="2"/>
        <v>-320800.82135523611</v>
      </c>
      <c r="F46" s="25">
        <f t="shared" si="3"/>
        <v>-8020.0205338809028</v>
      </c>
      <c r="G46" s="25">
        <f t="shared" si="4"/>
        <v>-7859.6201232032845</v>
      </c>
      <c r="H46" s="25">
        <f t="shared" si="5"/>
        <v>-220069.36344969197</v>
      </c>
      <c r="I46">
        <f t="shared" si="6"/>
        <v>-0.22006936344969197</v>
      </c>
      <c r="J46">
        <f t="shared" si="7"/>
        <v>-0.18863088295687883</v>
      </c>
      <c r="K46">
        <f>J46+'PA Frack Wells'!$D$67</f>
        <v>-0.14920821952921701</v>
      </c>
    </row>
    <row r="47" spans="1:12">
      <c r="A47" s="19">
        <v>40359</v>
      </c>
      <c r="B47" s="24">
        <v>212020</v>
      </c>
      <c r="C47" s="24">
        <f t="shared" si="0"/>
        <v>-113</v>
      </c>
      <c r="D47" s="24">
        <f t="shared" si="1"/>
        <v>-113000000</v>
      </c>
      <c r="E47" s="25">
        <f t="shared" si="2"/>
        <v>-2320.3285420944558</v>
      </c>
      <c r="F47" s="25">
        <f t="shared" si="3"/>
        <v>-58.008213552361397</v>
      </c>
      <c r="G47" s="25">
        <f t="shared" si="4"/>
        <v>-56.848049281314168</v>
      </c>
      <c r="H47" s="25">
        <f t="shared" si="5"/>
        <v>-1591.7453798767967</v>
      </c>
      <c r="I47">
        <f t="shared" si="6"/>
        <v>-1.5917453798767968E-3</v>
      </c>
      <c r="J47">
        <f t="shared" si="7"/>
        <v>-1.36435318275154E-3</v>
      </c>
      <c r="K47">
        <f>J47+'PA Frack Wells'!$D$67</f>
        <v>3.8058310244910271E-2</v>
      </c>
    </row>
    <row r="48" spans="1:12">
      <c r="A48" s="19">
        <v>40724</v>
      </c>
      <c r="B48" s="24">
        <v>193986</v>
      </c>
      <c r="C48" s="24">
        <f t="shared" si="0"/>
        <v>-18147</v>
      </c>
      <c r="D48" s="24">
        <f t="shared" si="1"/>
        <v>-18147000000</v>
      </c>
      <c r="E48" s="25">
        <f t="shared" si="2"/>
        <v>-372628.3367556468</v>
      </c>
      <c r="F48" s="25">
        <f t="shared" si="3"/>
        <v>-9315.7084188911704</v>
      </c>
      <c r="G48" s="25">
        <f t="shared" si="4"/>
        <v>-9129.3942505133473</v>
      </c>
      <c r="H48" s="25">
        <f t="shared" si="5"/>
        <v>-255623.03901437373</v>
      </c>
      <c r="I48">
        <f t="shared" si="6"/>
        <v>-0.25562303901437372</v>
      </c>
      <c r="J48">
        <f t="shared" si="7"/>
        <v>-0.21910546201232031</v>
      </c>
      <c r="K48">
        <f>J48+'PA Frack Wells'!$D$67</f>
        <v>-0.17968279858465849</v>
      </c>
    </row>
    <row r="49" spans="1:12">
      <c r="A49" s="19">
        <v>41090</v>
      </c>
      <c r="B49" s="24">
        <v>208946</v>
      </c>
      <c r="C49" s="24">
        <f t="shared" si="0"/>
        <v>-3187</v>
      </c>
      <c r="D49" s="24">
        <f t="shared" si="1"/>
        <v>-3187000000</v>
      </c>
      <c r="E49" s="25">
        <f t="shared" si="2"/>
        <v>-65441.478439425053</v>
      </c>
      <c r="F49" s="25">
        <f t="shared" si="3"/>
        <v>-1636.0369609856264</v>
      </c>
      <c r="G49" s="25">
        <f t="shared" si="4"/>
        <v>-1603.3162217659137</v>
      </c>
      <c r="H49" s="25">
        <f t="shared" si="5"/>
        <v>-44892.854209445584</v>
      </c>
      <c r="I49">
        <f t="shared" si="6"/>
        <v>-4.4892854209445582E-2</v>
      </c>
      <c r="J49">
        <f t="shared" si="7"/>
        <v>-3.8479589322381928E-2</v>
      </c>
      <c r="K49">
        <f>J49+'PA Frack Wells'!$D$67</f>
        <v>9.4307410527988411E-4</v>
      </c>
    </row>
    <row r="50" spans="1:12">
      <c r="A50" s="19">
        <v>41455</v>
      </c>
      <c r="B50" s="24">
        <v>197356</v>
      </c>
      <c r="C50" s="24">
        <f t="shared" si="0"/>
        <v>-14777</v>
      </c>
      <c r="D50" s="24">
        <f t="shared" si="1"/>
        <v>-14777000000</v>
      </c>
      <c r="E50" s="25">
        <f t="shared" si="2"/>
        <v>-303429.15811088297</v>
      </c>
      <c r="F50" s="25">
        <f t="shared" si="3"/>
        <v>-7585.728952772075</v>
      </c>
      <c r="G50" s="25">
        <f t="shared" si="4"/>
        <v>-7434.0143737166336</v>
      </c>
      <c r="H50" s="25">
        <f t="shared" si="5"/>
        <v>-208152.40246406573</v>
      </c>
      <c r="I50">
        <f t="shared" si="6"/>
        <v>-0.20815240246406572</v>
      </c>
      <c r="J50">
        <f t="shared" si="7"/>
        <v>-0.17841634496919917</v>
      </c>
      <c r="K50">
        <f>J50+'PA Frack Wells'!$D$67</f>
        <v>-0.13899368154153735</v>
      </c>
    </row>
    <row r="51" spans="1:12">
      <c r="A51" s="19">
        <v>41820</v>
      </c>
      <c r="B51" s="24">
        <v>207103</v>
      </c>
      <c r="C51" s="24">
        <f t="shared" si="0"/>
        <v>-5030</v>
      </c>
      <c r="D51" s="24">
        <f t="shared" si="1"/>
        <v>-5030000000</v>
      </c>
      <c r="E51" s="25">
        <f t="shared" si="2"/>
        <v>-103285.42094455851</v>
      </c>
      <c r="F51" s="25">
        <f t="shared" si="3"/>
        <v>-2582.135523613963</v>
      </c>
      <c r="G51" s="25">
        <f t="shared" si="4"/>
        <v>-2530.4928131416837</v>
      </c>
      <c r="H51" s="25">
        <f t="shared" si="5"/>
        <v>-70853.79876796715</v>
      </c>
      <c r="I51">
        <f t="shared" si="6"/>
        <v>-7.0853798767967144E-2</v>
      </c>
      <c r="J51">
        <f t="shared" si="7"/>
        <v>-6.0731827515400405E-2</v>
      </c>
      <c r="K51">
        <f>J51+'PA Frack Wells'!$D$67</f>
        <v>-2.1309164087738593E-2</v>
      </c>
    </row>
    <row r="52" spans="1:12">
      <c r="A52" s="19">
        <v>42185</v>
      </c>
      <c r="B52" s="24">
        <v>215005</v>
      </c>
      <c r="C52" s="24">
        <f t="shared" si="0"/>
        <v>2872</v>
      </c>
      <c r="D52" s="24">
        <f t="shared" si="1"/>
        <v>2872000000</v>
      </c>
      <c r="E52" s="25">
        <f t="shared" si="2"/>
        <v>58973.305954825461</v>
      </c>
      <c r="F52" s="25">
        <f t="shared" si="3"/>
        <v>1474.3326488706366</v>
      </c>
      <c r="G52" s="25">
        <f t="shared" si="4"/>
        <v>1444.8459958932237</v>
      </c>
      <c r="H52" s="25">
        <f t="shared" si="5"/>
        <v>40455.687885010266</v>
      </c>
      <c r="I52">
        <f t="shared" si="6"/>
        <v>4.0455687885010264E-2</v>
      </c>
      <c r="J52">
        <f t="shared" si="7"/>
        <v>3.4676303901437368E-2</v>
      </c>
      <c r="K52">
        <f>J52+'PA Frack Wells'!$D$67</f>
        <v>7.409896732909918E-2</v>
      </c>
    </row>
    <row r="53" spans="1:12">
      <c r="A53" s="19">
        <v>42551</v>
      </c>
      <c r="B53" s="24">
        <v>219024</v>
      </c>
      <c r="C53" s="24">
        <f t="shared" si="0"/>
        <v>6891</v>
      </c>
      <c r="D53" s="24">
        <f t="shared" si="1"/>
        <v>6891000000</v>
      </c>
      <c r="E53" s="25">
        <f t="shared" si="2"/>
        <v>141498.97330595483</v>
      </c>
      <c r="F53" s="25">
        <f t="shared" si="3"/>
        <v>3537.474332648871</v>
      </c>
      <c r="G53" s="25">
        <f t="shared" si="4"/>
        <v>3466.7248459958937</v>
      </c>
      <c r="H53" s="25">
        <f t="shared" si="5"/>
        <v>97068.295687885024</v>
      </c>
      <c r="I53">
        <f t="shared" si="6"/>
        <v>9.7068295687885026E-2</v>
      </c>
      <c r="J53">
        <f t="shared" si="7"/>
        <v>8.3201396303901443E-2</v>
      </c>
      <c r="K53">
        <f>J53+'PA Frack Wells'!$D$67</f>
        <v>0.12262405973156326</v>
      </c>
    </row>
    <row r="54" spans="1:12">
      <c r="A54" s="19">
        <v>42916</v>
      </c>
      <c r="B54" s="24">
        <v>222877</v>
      </c>
      <c r="C54" s="24">
        <f t="shared" si="0"/>
        <v>10744</v>
      </c>
      <c r="D54" s="24">
        <f t="shared" si="1"/>
        <v>10744000000</v>
      </c>
      <c r="E54" s="25">
        <f t="shared" si="2"/>
        <v>220616.01642710471</v>
      </c>
      <c r="F54" s="25">
        <f t="shared" si="3"/>
        <v>5515.4004106776183</v>
      </c>
      <c r="G54" s="25">
        <f t="shared" si="4"/>
        <v>5405.0924024640663</v>
      </c>
      <c r="H54" s="25">
        <f t="shared" si="5"/>
        <v>151342.58726899384</v>
      </c>
      <c r="I54">
        <f t="shared" si="6"/>
        <v>0.15134258726899383</v>
      </c>
      <c r="J54">
        <f t="shared" si="7"/>
        <v>0.12972221765913755</v>
      </c>
      <c r="K54">
        <f>J54+'PA Frack Wells'!$D$67</f>
        <v>0.16914488108679937</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28</v>
      </c>
      <c r="G62" t="s">
        <v>55</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BaFCO3eBjC56uxTMzYWcoOBDsJgpShULO67iiLvmxtn6HahljN2ysll3beXjvcfFJCFLETWeu78kAUnH+MpIXw==" saltValue="0r/9wy+WqiO42klfKue0cA=="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400-000000000000}"/>
    <hyperlink ref="G60" r:id="rId1" xr:uid="{00000000-0004-0000-0400-000001000000}"/>
    <hyperlink ref="G63" r:id="rId2" xr:uid="{00000000-0004-0000-0400-000002000000}"/>
    <hyperlink ref="G65" r:id="rId3" xr:uid="{00000000-0004-0000-0400-000003000000}"/>
    <hyperlink ref="B71" r:id="rId4" xr:uid="{00000000-0004-0000-0400-000004000000}"/>
    <hyperlink ref="B75" r:id="rId5" xr:uid="{00000000-0004-0000-0400-000005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5"/>
  <sheetViews>
    <sheetView topLeftCell="C34" workbookViewId="0">
      <selection activeCell="G59" sqref="G59:L59"/>
    </sheetView>
  </sheetViews>
  <sheetFormatPr defaultRowHeight="14.25"/>
  <cols>
    <col min="1" max="1" width="14" customWidth="1"/>
    <col min="2" max="2" width="33.75" customWidth="1"/>
    <col min="3" max="3" width="9.875" customWidth="1"/>
    <col min="4" max="4" width="14.125" customWidth="1"/>
    <col min="5" max="5" width="10.5" customWidth="1"/>
    <col min="6" max="6" width="9.625" customWidth="1"/>
    <col min="7" max="7" width="9.25" customWidth="1"/>
    <col min="8" max="8" width="10.5" customWidth="1"/>
    <col min="9" max="10" width="8"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ht="12.75" customHeight="1">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B44-$B$37</f>
        <v>-11080</v>
      </c>
      <c r="D44" s="24">
        <f t="shared" ref="D44:D54" si="1">C44*1000000</f>
        <v>-11080000000</v>
      </c>
      <c r="E44" s="25">
        <f t="shared" ref="E44:E54" si="2">D44/$C$63</f>
        <v>-227515.40041067763</v>
      </c>
      <c r="F44" s="25">
        <f t="shared" ref="F44:F54" si="3">E44*$C$60</f>
        <v>-5687.8850102669412</v>
      </c>
      <c r="G44" s="25">
        <f t="shared" ref="G44:G54" si="4">F44*$C$64</f>
        <v>-5574.1273100616027</v>
      </c>
      <c r="H44" s="25">
        <f t="shared" ref="H44:H54" si="5">G44*$C$62</f>
        <v>-468226.69404517463</v>
      </c>
      <c r="I44">
        <f t="shared" ref="I44:I54" si="6">H44/1000000</f>
        <v>-0.46822669404517464</v>
      </c>
      <c r="J44">
        <f t="shared" ref="J44:J54" si="7">I44*$C$58</f>
        <v>-0.40133716632443539</v>
      </c>
      <c r="K44">
        <f>J44+'PA Frack Wells (84)'!$D$67</f>
        <v>-0.36058968246014755</v>
      </c>
    </row>
    <row r="45" spans="1:12">
      <c r="A45" s="19">
        <v>39629</v>
      </c>
      <c r="B45" s="24">
        <v>196067</v>
      </c>
      <c r="C45" s="24">
        <f t="shared" si="0"/>
        <v>-16066</v>
      </c>
      <c r="D45" s="24">
        <f t="shared" si="1"/>
        <v>-16066000000</v>
      </c>
      <c r="E45" s="25">
        <f t="shared" si="2"/>
        <v>-329897.33059548255</v>
      </c>
      <c r="F45" s="25">
        <f t="shared" si="3"/>
        <v>-8247.4332648870641</v>
      </c>
      <c r="G45" s="25">
        <f t="shared" si="4"/>
        <v>-8082.4845995893229</v>
      </c>
      <c r="H45" s="25">
        <f t="shared" si="5"/>
        <v>-678928.70636550314</v>
      </c>
      <c r="I45">
        <f t="shared" si="6"/>
        <v>-0.67892870636550318</v>
      </c>
      <c r="J45">
        <f t="shared" si="7"/>
        <v>-0.58193889117043129</v>
      </c>
      <c r="K45">
        <f>J45+'PA Frack Wells (84)'!$D$67</f>
        <v>-0.54119140730614346</v>
      </c>
    </row>
    <row r="46" spans="1:12">
      <c r="A46" s="19">
        <v>39994</v>
      </c>
      <c r="B46" s="24">
        <v>196510</v>
      </c>
      <c r="C46" s="24">
        <f t="shared" si="0"/>
        <v>-15623</v>
      </c>
      <c r="D46" s="24">
        <f t="shared" si="1"/>
        <v>-15623000000</v>
      </c>
      <c r="E46" s="25">
        <f t="shared" si="2"/>
        <v>-320800.82135523611</v>
      </c>
      <c r="F46" s="25">
        <f t="shared" si="3"/>
        <v>-8020.0205338809028</v>
      </c>
      <c r="G46" s="25">
        <f t="shared" si="4"/>
        <v>-7859.6201232032845</v>
      </c>
      <c r="H46" s="25">
        <f t="shared" si="5"/>
        <v>-660208.09034907585</v>
      </c>
      <c r="I46">
        <f t="shared" si="6"/>
        <v>-0.6602080903490759</v>
      </c>
      <c r="J46">
        <f t="shared" si="7"/>
        <v>-0.56589264887063651</v>
      </c>
      <c r="K46">
        <f>J46+'PA Frack Wells (84)'!$D$67</f>
        <v>-0.52514516500634867</v>
      </c>
    </row>
    <row r="47" spans="1:12">
      <c r="A47" s="19">
        <v>40359</v>
      </c>
      <c r="B47" s="24">
        <v>212020</v>
      </c>
      <c r="C47" s="24">
        <f t="shared" si="0"/>
        <v>-113</v>
      </c>
      <c r="D47" s="24">
        <f t="shared" si="1"/>
        <v>-113000000</v>
      </c>
      <c r="E47" s="25">
        <f t="shared" si="2"/>
        <v>-2320.3285420944558</v>
      </c>
      <c r="F47" s="25">
        <f t="shared" si="3"/>
        <v>-58.008213552361397</v>
      </c>
      <c r="G47" s="25">
        <f t="shared" si="4"/>
        <v>-56.848049281314168</v>
      </c>
      <c r="H47" s="25">
        <f t="shared" si="5"/>
        <v>-4775.2361396303904</v>
      </c>
      <c r="I47">
        <f t="shared" si="6"/>
        <v>-4.7752361396303901E-3</v>
      </c>
      <c r="J47">
        <f t="shared" si="7"/>
        <v>-4.0930595482546201E-3</v>
      </c>
      <c r="K47">
        <f>J47+'PA Frack Wells (84)'!$D$67</f>
        <v>3.6654424316033225E-2</v>
      </c>
    </row>
    <row r="48" spans="1:12">
      <c r="A48" s="19">
        <v>40724</v>
      </c>
      <c r="B48" s="24">
        <v>193986</v>
      </c>
      <c r="C48" s="24">
        <f t="shared" si="0"/>
        <v>-18147</v>
      </c>
      <c r="D48" s="24">
        <f t="shared" si="1"/>
        <v>-18147000000</v>
      </c>
      <c r="E48" s="25">
        <f t="shared" si="2"/>
        <v>-372628.3367556468</v>
      </c>
      <c r="F48" s="25">
        <f t="shared" si="3"/>
        <v>-9315.7084188911704</v>
      </c>
      <c r="G48" s="25">
        <f t="shared" si="4"/>
        <v>-9129.3942505133473</v>
      </c>
      <c r="H48" s="25">
        <f t="shared" si="5"/>
        <v>-766869.11704312114</v>
      </c>
      <c r="I48">
        <f t="shared" si="6"/>
        <v>-0.76686911704312111</v>
      </c>
      <c r="J48">
        <f t="shared" si="7"/>
        <v>-0.65731638603696096</v>
      </c>
      <c r="K48">
        <f>J48+'PA Frack Wells (84)'!$D$67</f>
        <v>-0.61656890217267313</v>
      </c>
    </row>
    <row r="49" spans="1:12">
      <c r="A49" s="19">
        <v>41090</v>
      </c>
      <c r="B49" s="24">
        <v>208946</v>
      </c>
      <c r="C49" s="24">
        <f t="shared" si="0"/>
        <v>-3187</v>
      </c>
      <c r="D49" s="24">
        <f t="shared" si="1"/>
        <v>-3187000000</v>
      </c>
      <c r="E49" s="25">
        <f t="shared" si="2"/>
        <v>-65441.478439425053</v>
      </c>
      <c r="F49" s="25">
        <f t="shared" si="3"/>
        <v>-1636.0369609856264</v>
      </c>
      <c r="G49" s="25">
        <f t="shared" si="4"/>
        <v>-1603.3162217659137</v>
      </c>
      <c r="H49" s="25">
        <f t="shared" si="5"/>
        <v>-134678.56262833675</v>
      </c>
      <c r="I49">
        <f t="shared" si="6"/>
        <v>-0.13467856262833675</v>
      </c>
      <c r="J49">
        <f t="shared" si="7"/>
        <v>-0.11543876796714578</v>
      </c>
      <c r="K49">
        <f>J49+'PA Frack Wells (84)'!$D$67</f>
        <v>-7.4691284102857941E-2</v>
      </c>
    </row>
    <row r="50" spans="1:12">
      <c r="A50" s="19">
        <v>41455</v>
      </c>
      <c r="B50" s="24">
        <v>197356</v>
      </c>
      <c r="C50" s="24">
        <f t="shared" si="0"/>
        <v>-14777</v>
      </c>
      <c r="D50" s="24">
        <f t="shared" si="1"/>
        <v>-14777000000</v>
      </c>
      <c r="E50" s="25">
        <f t="shared" si="2"/>
        <v>-303429.15811088297</v>
      </c>
      <c r="F50" s="25">
        <f t="shared" si="3"/>
        <v>-7585.728952772075</v>
      </c>
      <c r="G50" s="25">
        <f t="shared" si="4"/>
        <v>-7434.0143737166336</v>
      </c>
      <c r="H50" s="25">
        <f t="shared" si="5"/>
        <v>-624457.20739219722</v>
      </c>
      <c r="I50">
        <f t="shared" si="6"/>
        <v>-0.62445720739219723</v>
      </c>
      <c r="J50">
        <f t="shared" si="7"/>
        <v>-0.53524903490759757</v>
      </c>
      <c r="K50">
        <f>J50+'PA Frack Wells (84)'!$D$67</f>
        <v>-0.49450155104330973</v>
      </c>
    </row>
    <row r="51" spans="1:12">
      <c r="A51" s="19">
        <v>41820</v>
      </c>
      <c r="B51" s="24">
        <v>207103</v>
      </c>
      <c r="C51" s="24">
        <f t="shared" si="0"/>
        <v>-5030</v>
      </c>
      <c r="D51" s="24">
        <f t="shared" si="1"/>
        <v>-5030000000</v>
      </c>
      <c r="E51" s="25">
        <f t="shared" si="2"/>
        <v>-103285.42094455851</v>
      </c>
      <c r="F51" s="25">
        <f t="shared" si="3"/>
        <v>-2582.135523613963</v>
      </c>
      <c r="G51" s="25">
        <f t="shared" si="4"/>
        <v>-2530.4928131416837</v>
      </c>
      <c r="H51" s="25">
        <f t="shared" si="5"/>
        <v>-212561.39630390142</v>
      </c>
      <c r="I51">
        <f t="shared" si="6"/>
        <v>-0.21256139630390142</v>
      </c>
      <c r="J51">
        <f t="shared" si="7"/>
        <v>-0.18219548254620122</v>
      </c>
      <c r="K51">
        <f>J51+'PA Frack Wells (84)'!$D$67</f>
        <v>-0.14144799868191338</v>
      </c>
    </row>
    <row r="52" spans="1:12">
      <c r="A52" s="19">
        <v>42185</v>
      </c>
      <c r="B52" s="24">
        <v>215005</v>
      </c>
      <c r="C52" s="24">
        <f t="shared" si="0"/>
        <v>2872</v>
      </c>
      <c r="D52" s="24">
        <f t="shared" si="1"/>
        <v>2872000000</v>
      </c>
      <c r="E52" s="25">
        <f t="shared" si="2"/>
        <v>58973.305954825461</v>
      </c>
      <c r="F52" s="25">
        <f t="shared" si="3"/>
        <v>1474.3326488706366</v>
      </c>
      <c r="G52" s="25">
        <f t="shared" si="4"/>
        <v>1444.8459958932237</v>
      </c>
      <c r="H52" s="25">
        <f t="shared" si="5"/>
        <v>121367.0636550308</v>
      </c>
      <c r="I52">
        <f t="shared" si="6"/>
        <v>0.12136706365503079</v>
      </c>
      <c r="J52">
        <f t="shared" si="7"/>
        <v>0.1040289117043121</v>
      </c>
      <c r="K52">
        <f>J52+'PA Frack Wells (84)'!$D$67</f>
        <v>0.14477639556859995</v>
      </c>
    </row>
    <row r="53" spans="1:12">
      <c r="A53" s="19">
        <v>42551</v>
      </c>
      <c r="B53" s="24">
        <v>219024</v>
      </c>
      <c r="C53" s="24">
        <f t="shared" si="0"/>
        <v>6891</v>
      </c>
      <c r="D53" s="24">
        <f t="shared" si="1"/>
        <v>6891000000</v>
      </c>
      <c r="E53" s="25">
        <f t="shared" si="2"/>
        <v>141498.97330595483</v>
      </c>
      <c r="F53" s="25">
        <f t="shared" si="3"/>
        <v>3537.474332648871</v>
      </c>
      <c r="G53" s="25">
        <f t="shared" si="4"/>
        <v>3466.7248459958937</v>
      </c>
      <c r="H53" s="25">
        <f t="shared" si="5"/>
        <v>291204.88706365507</v>
      </c>
      <c r="I53">
        <f t="shared" si="6"/>
        <v>0.29120488706365505</v>
      </c>
      <c r="J53">
        <f t="shared" si="7"/>
        <v>0.24960418891170433</v>
      </c>
      <c r="K53">
        <f>J53+'PA Frack Wells (84)'!$D$67</f>
        <v>0.29035167277599216</v>
      </c>
    </row>
    <row r="54" spans="1:12">
      <c r="A54" s="19">
        <v>42916</v>
      </c>
      <c r="B54" s="24">
        <v>222877</v>
      </c>
      <c r="C54" s="24">
        <f t="shared" si="0"/>
        <v>10744</v>
      </c>
      <c r="D54" s="24">
        <f t="shared" si="1"/>
        <v>10744000000</v>
      </c>
      <c r="E54" s="25">
        <f t="shared" si="2"/>
        <v>220616.01642710471</v>
      </c>
      <c r="F54" s="25">
        <f t="shared" si="3"/>
        <v>5515.4004106776183</v>
      </c>
      <c r="G54" s="25">
        <f t="shared" si="4"/>
        <v>5405.0924024640663</v>
      </c>
      <c r="H54" s="25">
        <f t="shared" si="5"/>
        <v>454027.76180698158</v>
      </c>
      <c r="I54">
        <f t="shared" si="6"/>
        <v>0.45402776180698157</v>
      </c>
      <c r="J54">
        <f t="shared" si="7"/>
        <v>0.38916665297741276</v>
      </c>
      <c r="K54">
        <f>J54+'PA Frack Wells (84)'!$D$67</f>
        <v>0.4299141368417006</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84</v>
      </c>
      <c r="G62" s="12" t="s">
        <v>81</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CqbIWDodttfiU09zGJmXY5lEvg3TLi3hnbw+Wh36V1Swff+jAR0uv3DvhVuvmQ+S7L3RbR+97p79pB0t6pcIJg==" saltValue="iiMX97JRQQylx/31JtDzlQ=="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500-000000000000}"/>
    <hyperlink ref="G60" r:id="rId1" xr:uid="{00000000-0004-0000-0500-000001000000}"/>
    <hyperlink ref="G62" r:id="rId2" xr:uid="{00000000-0004-0000-0500-000002000000}"/>
    <hyperlink ref="G63" r:id="rId3" xr:uid="{00000000-0004-0000-0500-000003000000}"/>
    <hyperlink ref="G65" r:id="rId4" xr:uid="{00000000-0004-0000-0500-000004000000}"/>
    <hyperlink ref="B71" r:id="rId5" xr:uid="{00000000-0004-0000-0500-000005000000}"/>
    <hyperlink ref="B75" r:id="rId6" xr:uid="{00000000-0004-0000-0500-000006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5"/>
  <sheetViews>
    <sheetView topLeftCell="A34" workbookViewId="0">
      <selection activeCell="K54" sqref="K54"/>
    </sheetView>
  </sheetViews>
  <sheetFormatPr defaultRowHeight="14.25"/>
  <cols>
    <col min="1" max="1" width="14" customWidth="1"/>
    <col min="2" max="2" width="33.75" customWidth="1"/>
    <col min="3" max="3" width="9.875" customWidth="1"/>
    <col min="4" max="4" width="14" customWidth="1"/>
    <col min="5" max="5" width="10.625" customWidth="1"/>
    <col min="6" max="7" width="8.625" customWidth="1"/>
    <col min="8" max="8" width="10.5" customWidth="1"/>
    <col min="9" max="9" width="8" customWidth="1"/>
    <col min="10" max="10" width="11.125"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B44-$C$66</f>
        <v>3501.666666666657</v>
      </c>
      <c r="D44" s="24">
        <f t="shared" ref="D44:D54" si="1">C44*1000000</f>
        <v>3501666666.666657</v>
      </c>
      <c r="E44" s="25">
        <f t="shared" ref="E44:E54" si="2">D44/$C$63</f>
        <v>71902.80629705661</v>
      </c>
      <c r="F44" s="25">
        <f t="shared" ref="F44:F54" si="3">E44*$C$60</f>
        <v>1797.5701574264153</v>
      </c>
      <c r="G44" s="25">
        <f t="shared" ref="G44:G54" si="4">F44*$C$64</f>
        <v>1761.6187542778871</v>
      </c>
      <c r="H44" s="25">
        <f t="shared" ref="H44:H54" si="5">G44*$C$62</f>
        <v>49325.325119780842</v>
      </c>
      <c r="I44">
        <f t="shared" ref="I44:I54" si="6">H44/1000000</f>
        <v>4.9325325119780841E-2</v>
      </c>
      <c r="J44">
        <f t="shared" ref="J44:J54" si="7">I44*$C$58</f>
        <v>4.227885010266929E-2</v>
      </c>
      <c r="K44">
        <f>J44+'PA Frack Wells'!$D$73</f>
        <v>9.0936541630691897E-2</v>
      </c>
    </row>
    <row r="45" spans="1:12">
      <c r="A45" s="19">
        <v>39629</v>
      </c>
      <c r="B45" s="24">
        <v>196067</v>
      </c>
      <c r="C45" s="24">
        <f t="shared" si="0"/>
        <v>-1484.333333333343</v>
      </c>
      <c r="D45" s="24">
        <f t="shared" si="1"/>
        <v>-1484333333.333343</v>
      </c>
      <c r="E45" s="25">
        <f t="shared" si="2"/>
        <v>-30479.123887748316</v>
      </c>
      <c r="F45" s="25">
        <f t="shared" si="3"/>
        <v>-761.97809719370798</v>
      </c>
      <c r="G45" s="25">
        <f t="shared" si="4"/>
        <v>-746.73853524983383</v>
      </c>
      <c r="H45" s="25">
        <f t="shared" si="5"/>
        <v>-20908.678986995346</v>
      </c>
      <c r="I45">
        <f t="shared" si="6"/>
        <v>-2.0908678986995347E-2</v>
      </c>
      <c r="J45">
        <f t="shared" si="7"/>
        <v>-1.7921724845996009E-2</v>
      </c>
      <c r="K45">
        <f>J45+'PA Frack Wells'!$D$73</f>
        <v>3.0735966682026598E-2</v>
      </c>
    </row>
    <row r="46" spans="1:12">
      <c r="A46" s="19">
        <v>39994</v>
      </c>
      <c r="B46" s="24">
        <v>196510</v>
      </c>
      <c r="C46" s="24">
        <f t="shared" si="0"/>
        <v>-1041.333333333343</v>
      </c>
      <c r="D46" s="24">
        <f t="shared" si="1"/>
        <v>-1041333333.333343</v>
      </c>
      <c r="E46" s="25">
        <f t="shared" si="2"/>
        <v>-21382.614647501909</v>
      </c>
      <c r="F46" s="25">
        <f t="shared" si="3"/>
        <v>-534.56536618754774</v>
      </c>
      <c r="G46" s="25">
        <f t="shared" si="4"/>
        <v>-523.87405886379679</v>
      </c>
      <c r="H46" s="25">
        <f t="shared" si="5"/>
        <v>-14668.473648186311</v>
      </c>
      <c r="I46">
        <f t="shared" si="6"/>
        <v>-1.4668473648186311E-2</v>
      </c>
      <c r="J46">
        <f t="shared" si="7"/>
        <v>-1.2572977412731123E-2</v>
      </c>
      <c r="K46">
        <f>J46+'PA Frack Wells'!$D$73</f>
        <v>3.6084714115291489E-2</v>
      </c>
    </row>
    <row r="47" spans="1:12">
      <c r="A47" s="19">
        <v>40359</v>
      </c>
      <c r="B47" s="24">
        <v>212020</v>
      </c>
      <c r="C47" s="24">
        <f t="shared" si="0"/>
        <v>14468.666666666657</v>
      </c>
      <c r="D47" s="24">
        <f t="shared" si="1"/>
        <v>14468666666.666656</v>
      </c>
      <c r="E47" s="25">
        <f t="shared" si="2"/>
        <v>297097.87816563976</v>
      </c>
      <c r="F47" s="25">
        <f t="shared" si="3"/>
        <v>7427.4469541409944</v>
      </c>
      <c r="G47" s="25">
        <f t="shared" si="4"/>
        <v>7278.8980150581747</v>
      </c>
      <c r="H47" s="25">
        <f t="shared" si="5"/>
        <v>203809.14442162888</v>
      </c>
      <c r="I47">
        <f t="shared" si="6"/>
        <v>0.20380914442162887</v>
      </c>
      <c r="J47">
        <f t="shared" si="7"/>
        <v>0.17469355236139616</v>
      </c>
      <c r="K47">
        <f>J47+'PA Frack Wells'!$D$73</f>
        <v>0.22335124388941877</v>
      </c>
    </row>
    <row r="48" spans="1:12">
      <c r="A48" s="19">
        <v>40724</v>
      </c>
      <c r="B48" s="24">
        <v>193986</v>
      </c>
      <c r="C48" s="24">
        <f t="shared" si="0"/>
        <v>-3565.333333333343</v>
      </c>
      <c r="D48" s="24">
        <f t="shared" si="1"/>
        <v>-3565333333.333343</v>
      </c>
      <c r="E48" s="25">
        <f t="shared" si="2"/>
        <v>-73210.130047912593</v>
      </c>
      <c r="F48" s="25">
        <f t="shared" si="3"/>
        <v>-1830.253251197815</v>
      </c>
      <c r="G48" s="25">
        <f t="shared" si="4"/>
        <v>-1793.6481861738587</v>
      </c>
      <c r="H48" s="25">
        <f t="shared" si="5"/>
        <v>-50222.14921286804</v>
      </c>
      <c r="I48">
        <f t="shared" si="6"/>
        <v>-5.0222149212868043E-2</v>
      </c>
      <c r="J48">
        <f t="shared" si="7"/>
        <v>-4.3047556468172606E-2</v>
      </c>
      <c r="K48">
        <f>J48+'PA Frack Wells'!$D$73</f>
        <v>5.6101350598500022E-3</v>
      </c>
    </row>
    <row r="49" spans="1:12">
      <c r="A49" s="19">
        <v>41090</v>
      </c>
      <c r="B49" s="24">
        <v>208946</v>
      </c>
      <c r="C49" s="24">
        <f t="shared" si="0"/>
        <v>11394.666666666657</v>
      </c>
      <c r="D49" s="24">
        <f t="shared" si="1"/>
        <v>11394666666.666656</v>
      </c>
      <c r="E49" s="25">
        <f t="shared" si="2"/>
        <v>233976.72826830918</v>
      </c>
      <c r="F49" s="25">
        <f t="shared" si="3"/>
        <v>5849.41820670773</v>
      </c>
      <c r="G49" s="25">
        <f t="shared" si="4"/>
        <v>5732.4298425735751</v>
      </c>
      <c r="H49" s="25">
        <f t="shared" si="5"/>
        <v>160508.0355920601</v>
      </c>
      <c r="I49">
        <f t="shared" si="6"/>
        <v>0.16050803559206009</v>
      </c>
      <c r="J49">
        <f t="shared" si="7"/>
        <v>0.13757831622176578</v>
      </c>
      <c r="K49">
        <f>J49+'PA Frack Wells'!$D$73</f>
        <v>0.18623600774978838</v>
      </c>
    </row>
    <row r="50" spans="1:12">
      <c r="A50" s="19">
        <v>41455</v>
      </c>
      <c r="B50" s="24">
        <v>197356</v>
      </c>
      <c r="C50" s="24">
        <f t="shared" si="0"/>
        <v>-195.33333333334303</v>
      </c>
      <c r="D50" s="24">
        <f t="shared" si="1"/>
        <v>-195333333.33334303</v>
      </c>
      <c r="E50" s="25">
        <f t="shared" si="2"/>
        <v>-4010.9514031487274</v>
      </c>
      <c r="F50" s="25">
        <f t="shared" si="3"/>
        <v>-100.27378507871819</v>
      </c>
      <c r="G50" s="25">
        <f t="shared" si="4"/>
        <v>-98.268309377143822</v>
      </c>
      <c r="H50" s="25">
        <f t="shared" si="5"/>
        <v>-2751.5126625600269</v>
      </c>
      <c r="I50">
        <f t="shared" si="6"/>
        <v>-2.751512662560027E-3</v>
      </c>
      <c r="J50">
        <f t="shared" si="7"/>
        <v>-2.3584394250514514E-3</v>
      </c>
      <c r="K50">
        <f>J50+'PA Frack Wells'!$D$73</f>
        <v>4.6299252102971158E-2</v>
      </c>
    </row>
    <row r="51" spans="1:12">
      <c r="A51" s="19">
        <v>41820</v>
      </c>
      <c r="B51" s="24">
        <v>207103</v>
      </c>
      <c r="C51" s="24">
        <f t="shared" si="0"/>
        <v>9551.666666666657</v>
      </c>
      <c r="D51" s="24">
        <f t="shared" si="1"/>
        <v>9551666666.6666565</v>
      </c>
      <c r="E51" s="25">
        <f t="shared" si="2"/>
        <v>196132.78576317569</v>
      </c>
      <c r="F51" s="25">
        <f t="shared" si="3"/>
        <v>4903.3196440793927</v>
      </c>
      <c r="G51" s="25">
        <f t="shared" si="4"/>
        <v>4805.2532511978052</v>
      </c>
      <c r="H51" s="25">
        <f t="shared" si="5"/>
        <v>134547.09103353854</v>
      </c>
      <c r="I51">
        <f t="shared" si="6"/>
        <v>0.13454709103353854</v>
      </c>
      <c r="J51">
        <f t="shared" si="7"/>
        <v>0.11532607802874731</v>
      </c>
      <c r="K51">
        <f>J51+'PA Frack Wells'!$D$73</f>
        <v>0.16398376955676991</v>
      </c>
    </row>
    <row r="52" spans="1:12">
      <c r="A52" s="19">
        <v>42185</v>
      </c>
      <c r="B52" s="24">
        <v>215005</v>
      </c>
      <c r="C52" s="24">
        <f t="shared" si="0"/>
        <v>17453.666666666657</v>
      </c>
      <c r="D52" s="24">
        <f t="shared" si="1"/>
        <v>17453666666.666656</v>
      </c>
      <c r="E52" s="25">
        <f t="shared" si="2"/>
        <v>358391.51266255969</v>
      </c>
      <c r="F52" s="25">
        <f t="shared" si="3"/>
        <v>8959.7878165639922</v>
      </c>
      <c r="G52" s="25">
        <f t="shared" si="4"/>
        <v>8780.5920602327114</v>
      </c>
      <c r="H52" s="25">
        <f t="shared" si="5"/>
        <v>245856.57768651593</v>
      </c>
      <c r="I52">
        <f t="shared" si="6"/>
        <v>0.24585657768651592</v>
      </c>
      <c r="J52">
        <f t="shared" si="7"/>
        <v>0.21073420944558507</v>
      </c>
      <c r="K52">
        <f>J52+'PA Frack Wells'!$D$73</f>
        <v>0.2593919009736077</v>
      </c>
    </row>
    <row r="53" spans="1:12">
      <c r="A53" s="19">
        <v>42551</v>
      </c>
      <c r="B53" s="24">
        <v>219024</v>
      </c>
      <c r="C53" s="24">
        <f t="shared" si="0"/>
        <v>21472.666666666657</v>
      </c>
      <c r="D53" s="24">
        <f t="shared" si="1"/>
        <v>21472666666.666656</v>
      </c>
      <c r="E53" s="25">
        <f t="shared" si="2"/>
        <v>440917.18001368904</v>
      </c>
      <c r="F53" s="25">
        <f t="shared" si="3"/>
        <v>11022.929500342227</v>
      </c>
      <c r="G53" s="25">
        <f t="shared" si="4"/>
        <v>10802.470910335382</v>
      </c>
      <c r="H53" s="25">
        <f t="shared" si="5"/>
        <v>302469.18548939069</v>
      </c>
      <c r="I53">
        <f t="shared" si="6"/>
        <v>0.30246918548939067</v>
      </c>
      <c r="J53">
        <f t="shared" si="7"/>
        <v>0.25925930184804913</v>
      </c>
      <c r="K53">
        <f>J53+'PA Frack Wells'!$D$73</f>
        <v>0.30791699337607176</v>
      </c>
    </row>
    <row r="54" spans="1:12">
      <c r="A54" s="19">
        <v>42916</v>
      </c>
      <c r="B54" s="24">
        <v>222877</v>
      </c>
      <c r="C54" s="24">
        <f t="shared" si="0"/>
        <v>25325.666666666657</v>
      </c>
      <c r="D54" s="24">
        <f t="shared" si="1"/>
        <v>25325666666.666656</v>
      </c>
      <c r="E54" s="25">
        <f t="shared" si="2"/>
        <v>520034.22313483892</v>
      </c>
      <c r="F54" s="25">
        <f t="shared" si="3"/>
        <v>13000.855578370974</v>
      </c>
      <c r="G54" s="25">
        <f t="shared" si="4"/>
        <v>12740.838466803554</v>
      </c>
      <c r="H54" s="25">
        <f t="shared" si="5"/>
        <v>356743.4770704995</v>
      </c>
      <c r="I54">
        <f t="shared" si="6"/>
        <v>0.35674347707049953</v>
      </c>
      <c r="J54">
        <f t="shared" si="7"/>
        <v>0.30578012320328529</v>
      </c>
      <c r="K54">
        <f>J54+'PA Frack Wells'!$D$73</f>
        <v>0.35443781473130792</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28</v>
      </c>
      <c r="G62" t="s">
        <v>55</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6" spans="2:9">
      <c r="B66" s="20" t="s">
        <v>82</v>
      </c>
      <c r="C66" s="20">
        <f>AVERAGE($B$34:$B$42)</f>
        <v>197551.33333333334</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65PFhj8fUQTTnvFWdZmAhmq9iPlm5TFmq9oAXenuhrKVVwASpuQ3LqAGPzZ1iccSivXqb5kYFx7Z754FD6ObUQ==" saltValue="us+RbjylQNg+1DARedak8g=="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600-000000000000}"/>
    <hyperlink ref="G60" r:id="rId1" xr:uid="{00000000-0004-0000-0600-000001000000}"/>
    <hyperlink ref="G63" r:id="rId2" xr:uid="{00000000-0004-0000-0600-000002000000}"/>
    <hyperlink ref="G65" r:id="rId3" xr:uid="{00000000-0004-0000-0600-000003000000}"/>
    <hyperlink ref="B71" r:id="rId4" xr:uid="{00000000-0004-0000-0600-000004000000}"/>
    <hyperlink ref="B75" r:id="rId5" xr:uid="{00000000-0004-0000-0600-000005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5"/>
  <sheetViews>
    <sheetView topLeftCell="A34" workbookViewId="0">
      <selection activeCell="C54" sqref="C54"/>
    </sheetView>
  </sheetViews>
  <sheetFormatPr defaultRowHeight="14.25"/>
  <cols>
    <col min="1" max="1" width="14" customWidth="1"/>
    <col min="2" max="2" width="33.75" customWidth="1"/>
    <col min="3" max="3" width="9.875" customWidth="1"/>
    <col min="4" max="4" width="14.5" customWidth="1"/>
    <col min="5" max="5" width="9.75" customWidth="1"/>
    <col min="6" max="7" width="8.625" customWidth="1"/>
    <col min="8" max="8" width="11.125" customWidth="1"/>
    <col min="9" max="9" width="8" customWidth="1"/>
    <col min="10" max="10" width="11.125"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18" t="s">
        <v>62</v>
      </c>
      <c r="D3" s="17" t="s">
        <v>63</v>
      </c>
      <c r="E3" s="17" t="s">
        <v>64</v>
      </c>
      <c r="F3" s="17" t="s">
        <v>65</v>
      </c>
      <c r="G3" s="17" t="s">
        <v>66</v>
      </c>
      <c r="H3" s="17" t="s">
        <v>67</v>
      </c>
      <c r="I3" s="17" t="s">
        <v>68</v>
      </c>
      <c r="J3" s="17" t="s">
        <v>69</v>
      </c>
      <c r="K3" s="17" t="s">
        <v>70</v>
      </c>
    </row>
    <row r="4" spans="1:11" ht="12.75" hidden="1" customHeight="1">
      <c r="A4" s="19">
        <v>24653</v>
      </c>
    </row>
    <row r="5" spans="1:11" ht="12.75" hidden="1" customHeight="1">
      <c r="A5" s="19">
        <v>25019</v>
      </c>
    </row>
    <row r="6" spans="1:11" ht="12.75" hidden="1" customHeight="1">
      <c r="A6" s="19">
        <v>25384</v>
      </c>
    </row>
    <row r="7" spans="1:11" ht="12.75" hidden="1" customHeight="1">
      <c r="A7" s="19">
        <v>25749</v>
      </c>
    </row>
    <row r="8" spans="1:11" ht="12.75" hidden="1" customHeight="1">
      <c r="A8" s="19">
        <v>26114</v>
      </c>
    </row>
    <row r="9" spans="1:11" ht="12.75" hidden="1" customHeight="1">
      <c r="A9" s="19">
        <v>26480</v>
      </c>
    </row>
    <row r="10" spans="1:11" ht="12.75" hidden="1" customHeight="1">
      <c r="A10" s="19">
        <v>26845</v>
      </c>
    </row>
    <row r="11" spans="1:11" ht="12.75" hidden="1" customHeight="1">
      <c r="A11" s="19">
        <v>27210</v>
      </c>
    </row>
    <row r="12" spans="1:11" ht="12.75" hidden="1" customHeight="1">
      <c r="A12" s="19">
        <v>27575</v>
      </c>
    </row>
    <row r="13" spans="1:11" ht="12.75" hidden="1" customHeight="1">
      <c r="A13" s="19">
        <v>27941</v>
      </c>
    </row>
    <row r="14" spans="1:11" ht="12.75" hidden="1" customHeight="1">
      <c r="A14" s="19">
        <v>28306</v>
      </c>
    </row>
    <row r="15" spans="1:11" ht="12.75" hidden="1" customHeight="1">
      <c r="A15" s="19">
        <v>28671</v>
      </c>
    </row>
    <row r="16" spans="1:11" ht="12.75" hidden="1" customHeight="1">
      <c r="A16" s="19">
        <v>29036</v>
      </c>
    </row>
    <row r="17" spans="1:1" ht="12.75" hidden="1" customHeight="1">
      <c r="A17" s="19">
        <v>29402</v>
      </c>
    </row>
    <row r="18" spans="1:1" ht="12.75" hidden="1" customHeight="1">
      <c r="A18" s="19">
        <v>29767</v>
      </c>
    </row>
    <row r="19" spans="1:1" ht="12.75" hidden="1" customHeight="1">
      <c r="A19" s="19">
        <v>30132</v>
      </c>
    </row>
    <row r="20" spans="1:1" ht="12.75" hidden="1" customHeight="1">
      <c r="A20" s="19">
        <v>30497</v>
      </c>
    </row>
    <row r="21" spans="1:1" ht="12.75" hidden="1" customHeight="1">
      <c r="A21" s="19">
        <v>30863</v>
      </c>
    </row>
    <row r="22" spans="1:1" ht="12.75" hidden="1" customHeight="1">
      <c r="A22" s="19">
        <v>31228</v>
      </c>
    </row>
    <row r="23" spans="1:1" ht="12.75" hidden="1" customHeight="1">
      <c r="A23" s="19">
        <v>31593</v>
      </c>
    </row>
    <row r="24" spans="1:1" ht="12.75" hidden="1" customHeight="1">
      <c r="A24" s="19">
        <v>31958</v>
      </c>
    </row>
    <row r="25" spans="1:1" ht="12.75" hidden="1" customHeight="1">
      <c r="A25" s="19">
        <v>32324</v>
      </c>
    </row>
    <row r="26" spans="1:1" ht="12.75" hidden="1" customHeight="1">
      <c r="A26" s="19">
        <v>32689</v>
      </c>
    </row>
    <row r="27" spans="1:1" ht="12.75" hidden="1" customHeight="1">
      <c r="A27" s="19">
        <v>33054</v>
      </c>
    </row>
    <row r="28" spans="1:1" ht="12.75" hidden="1" customHeight="1">
      <c r="A28" s="19">
        <v>33419</v>
      </c>
    </row>
    <row r="29" spans="1:1" ht="12.75" hidden="1" customHeight="1">
      <c r="A29" s="19">
        <v>33785</v>
      </c>
    </row>
    <row r="30" spans="1:1" ht="12.75" hidden="1" customHeight="1">
      <c r="A30" s="19">
        <v>34150</v>
      </c>
    </row>
    <row r="31" spans="1:1" ht="12.75" hidden="1" customHeight="1">
      <c r="A31" s="19">
        <v>34515</v>
      </c>
    </row>
    <row r="32" spans="1:1" ht="12.75" hidden="1" customHeight="1">
      <c r="A32" s="19">
        <v>34880</v>
      </c>
    </row>
    <row r="33" spans="1:12" ht="12.75" hidden="1" customHeight="1">
      <c r="A33" s="19">
        <v>35246</v>
      </c>
    </row>
    <row r="34" spans="1:12">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B44-$C$66</f>
        <v>3501.666666666657</v>
      </c>
      <c r="D44" s="24">
        <f t="shared" ref="D44:D54" si="1">C44*1000000</f>
        <v>3501666666.666657</v>
      </c>
      <c r="E44" s="25">
        <f t="shared" ref="E44:E54" si="2">D44/$C$63</f>
        <v>71902.80629705661</v>
      </c>
      <c r="F44" s="25">
        <f t="shared" ref="F44:F54" si="3">E44*$C$60</f>
        <v>1797.5701574264153</v>
      </c>
      <c r="G44" s="25">
        <f t="shared" ref="G44:G54" si="4">F44*$C$64</f>
        <v>1761.6187542778871</v>
      </c>
      <c r="H44" s="25">
        <f t="shared" ref="H44:H54" si="5">G44*$C$62</f>
        <v>147975.97535934253</v>
      </c>
      <c r="I44">
        <f t="shared" ref="I44:I54" si="6">H44/1000000</f>
        <v>0.14797597535934254</v>
      </c>
      <c r="J44">
        <f t="shared" ref="J44:J54" si="7">I44*$C$58</f>
        <v>0.12683655030800789</v>
      </c>
      <c r="K44">
        <f>J44+'PA Frack Wells (84)'!$D$73</f>
        <v>0.17814388270928258</v>
      </c>
    </row>
    <row r="45" spans="1:12">
      <c r="A45" s="19">
        <v>39629</v>
      </c>
      <c r="B45" s="24">
        <v>196067</v>
      </c>
      <c r="C45" s="24">
        <f t="shared" si="0"/>
        <v>-1484.333333333343</v>
      </c>
      <c r="D45" s="24">
        <f t="shared" si="1"/>
        <v>-1484333333.333343</v>
      </c>
      <c r="E45" s="25">
        <f t="shared" si="2"/>
        <v>-30479.123887748316</v>
      </c>
      <c r="F45" s="25">
        <f t="shared" si="3"/>
        <v>-761.97809719370798</v>
      </c>
      <c r="G45" s="25">
        <f t="shared" si="4"/>
        <v>-746.73853524983383</v>
      </c>
      <c r="H45" s="25">
        <f t="shared" si="5"/>
        <v>-62726.036960986043</v>
      </c>
      <c r="I45">
        <f t="shared" si="6"/>
        <v>-6.272603696098604E-2</v>
      </c>
      <c r="J45">
        <f t="shared" si="7"/>
        <v>-5.3765174537988028E-2</v>
      </c>
      <c r="K45">
        <f>J45+'PA Frack Wells (84)'!$D$73</f>
        <v>-2.4578421367133368E-3</v>
      </c>
    </row>
    <row r="46" spans="1:12">
      <c r="A46" s="19">
        <v>39994</v>
      </c>
      <c r="B46" s="24">
        <v>196510</v>
      </c>
      <c r="C46" s="24">
        <f t="shared" si="0"/>
        <v>-1041.333333333343</v>
      </c>
      <c r="D46" s="24">
        <f t="shared" si="1"/>
        <v>-1041333333.333343</v>
      </c>
      <c r="E46" s="25">
        <f t="shared" si="2"/>
        <v>-21382.614647501909</v>
      </c>
      <c r="F46" s="25">
        <f t="shared" si="3"/>
        <v>-534.56536618754774</v>
      </c>
      <c r="G46" s="25">
        <f t="shared" si="4"/>
        <v>-523.87405886379679</v>
      </c>
      <c r="H46" s="25">
        <f t="shared" si="5"/>
        <v>-44005.420944558929</v>
      </c>
      <c r="I46">
        <f t="shared" si="6"/>
        <v>-4.4005420944558928E-2</v>
      </c>
      <c r="J46">
        <f t="shared" si="7"/>
        <v>-3.7718932238193364E-2</v>
      </c>
      <c r="K46">
        <f>J46+'PA Frack Wells (84)'!$D$73</f>
        <v>1.3588400163081327E-2</v>
      </c>
    </row>
    <row r="47" spans="1:12">
      <c r="A47" s="19">
        <v>40359</v>
      </c>
      <c r="B47" s="24">
        <v>212020</v>
      </c>
      <c r="C47" s="24">
        <f t="shared" si="0"/>
        <v>14468.666666666657</v>
      </c>
      <c r="D47" s="24">
        <f t="shared" si="1"/>
        <v>14468666666.666656</v>
      </c>
      <c r="E47" s="25">
        <f t="shared" si="2"/>
        <v>297097.87816563976</v>
      </c>
      <c r="F47" s="25">
        <f t="shared" si="3"/>
        <v>7427.4469541409944</v>
      </c>
      <c r="G47" s="25">
        <f t="shared" si="4"/>
        <v>7278.8980150581747</v>
      </c>
      <c r="H47" s="25">
        <f t="shared" si="5"/>
        <v>611427.43326488673</v>
      </c>
      <c r="I47">
        <f t="shared" si="6"/>
        <v>0.61142743326488669</v>
      </c>
      <c r="J47">
        <f t="shared" si="7"/>
        <v>0.52408065708418861</v>
      </c>
      <c r="K47">
        <f>J47+'PA Frack Wells (84)'!$D$73</f>
        <v>0.57538798948546332</v>
      </c>
    </row>
    <row r="48" spans="1:12">
      <c r="A48" s="19">
        <v>40724</v>
      </c>
      <c r="B48" s="24">
        <v>193986</v>
      </c>
      <c r="C48" s="24">
        <f t="shared" si="0"/>
        <v>-3565.333333333343</v>
      </c>
      <c r="D48" s="24">
        <f t="shared" si="1"/>
        <v>-3565333333.333343</v>
      </c>
      <c r="E48" s="25">
        <f t="shared" si="2"/>
        <v>-73210.130047912593</v>
      </c>
      <c r="F48" s="25">
        <f t="shared" si="3"/>
        <v>-1830.253251197815</v>
      </c>
      <c r="G48" s="25">
        <f t="shared" si="4"/>
        <v>-1793.6481861738587</v>
      </c>
      <c r="H48" s="25">
        <f t="shared" si="5"/>
        <v>-150666.44763860412</v>
      </c>
      <c r="I48">
        <f t="shared" si="6"/>
        <v>-0.15066644763860412</v>
      </c>
      <c r="J48">
        <f t="shared" si="7"/>
        <v>-0.12914266940451782</v>
      </c>
      <c r="K48">
        <f>J48+'PA Frack Wells (84)'!$D$73</f>
        <v>-7.7835337003243132E-2</v>
      </c>
    </row>
    <row r="49" spans="1:12">
      <c r="A49" s="19">
        <v>41090</v>
      </c>
      <c r="B49" s="24">
        <v>208946</v>
      </c>
      <c r="C49" s="24">
        <f t="shared" si="0"/>
        <v>11394.666666666657</v>
      </c>
      <c r="D49" s="24">
        <f t="shared" si="1"/>
        <v>11394666666.666656</v>
      </c>
      <c r="E49" s="25">
        <f t="shared" si="2"/>
        <v>233976.72826830918</v>
      </c>
      <c r="F49" s="25">
        <f t="shared" si="3"/>
        <v>5849.41820670773</v>
      </c>
      <c r="G49" s="25">
        <f t="shared" si="4"/>
        <v>5732.4298425735751</v>
      </c>
      <c r="H49" s="25">
        <f t="shared" si="5"/>
        <v>481524.10677618033</v>
      </c>
      <c r="I49">
        <f t="shared" si="6"/>
        <v>0.48152410677618035</v>
      </c>
      <c r="J49">
        <f t="shared" si="7"/>
        <v>0.41273494866529742</v>
      </c>
      <c r="K49">
        <f>J49+'PA Frack Wells (84)'!$D$73</f>
        <v>0.46404228106657208</v>
      </c>
    </row>
    <row r="50" spans="1:12">
      <c r="A50" s="19">
        <v>41455</v>
      </c>
      <c r="B50" s="24">
        <v>197356</v>
      </c>
      <c r="C50" s="24">
        <f t="shared" si="0"/>
        <v>-195.33333333334303</v>
      </c>
      <c r="D50" s="24">
        <f t="shared" si="1"/>
        <v>-195333333.33334303</v>
      </c>
      <c r="E50" s="25">
        <f t="shared" si="2"/>
        <v>-4010.9514031487274</v>
      </c>
      <c r="F50" s="25">
        <f t="shared" si="3"/>
        <v>-100.27378507871819</v>
      </c>
      <c r="G50" s="25">
        <f t="shared" si="4"/>
        <v>-98.268309377143822</v>
      </c>
      <c r="H50" s="25">
        <f t="shared" si="5"/>
        <v>-8254.5379876800816</v>
      </c>
      <c r="I50">
        <f t="shared" si="6"/>
        <v>-8.2545379876800811E-3</v>
      </c>
      <c r="J50">
        <f t="shared" si="7"/>
        <v>-7.0753182751543547E-3</v>
      </c>
      <c r="K50">
        <f>J50+'PA Frack Wells (84)'!$D$73</f>
        <v>4.4232014126120336E-2</v>
      </c>
    </row>
    <row r="51" spans="1:12">
      <c r="A51" s="19">
        <v>41820</v>
      </c>
      <c r="B51" s="24">
        <v>207103</v>
      </c>
      <c r="C51" s="24">
        <f t="shared" si="0"/>
        <v>9551.666666666657</v>
      </c>
      <c r="D51" s="24">
        <f t="shared" si="1"/>
        <v>9551666666.6666565</v>
      </c>
      <c r="E51" s="25">
        <f t="shared" si="2"/>
        <v>196132.78576317569</v>
      </c>
      <c r="F51" s="25">
        <f t="shared" si="3"/>
        <v>4903.3196440793927</v>
      </c>
      <c r="G51" s="25">
        <f t="shared" si="4"/>
        <v>4805.2532511978052</v>
      </c>
      <c r="H51" s="25">
        <f t="shared" si="5"/>
        <v>403641.27310061565</v>
      </c>
      <c r="I51">
        <f t="shared" si="6"/>
        <v>0.40364127310061565</v>
      </c>
      <c r="J51">
        <f t="shared" si="7"/>
        <v>0.34597823408624195</v>
      </c>
      <c r="K51">
        <f>J51+'PA Frack Wells (84)'!$D$73</f>
        <v>0.39728556648751667</v>
      </c>
    </row>
    <row r="52" spans="1:12">
      <c r="A52" s="19">
        <v>42185</v>
      </c>
      <c r="B52" s="24">
        <v>215005</v>
      </c>
      <c r="C52" s="24">
        <f t="shared" si="0"/>
        <v>17453.666666666657</v>
      </c>
      <c r="D52" s="24">
        <f t="shared" si="1"/>
        <v>17453666666.666656</v>
      </c>
      <c r="E52" s="25">
        <f t="shared" si="2"/>
        <v>358391.51266255969</v>
      </c>
      <c r="F52" s="25">
        <f t="shared" si="3"/>
        <v>8959.7878165639922</v>
      </c>
      <c r="G52" s="25">
        <f t="shared" si="4"/>
        <v>8780.5920602327114</v>
      </c>
      <c r="H52" s="25">
        <f t="shared" si="5"/>
        <v>737569.73305954773</v>
      </c>
      <c r="I52">
        <f t="shared" si="6"/>
        <v>0.73756973305954776</v>
      </c>
      <c r="J52">
        <f t="shared" si="7"/>
        <v>0.63220262833675522</v>
      </c>
      <c r="K52">
        <f>J52+'PA Frack Wells (84)'!$D$73</f>
        <v>0.68350996073802994</v>
      </c>
    </row>
    <row r="53" spans="1:12">
      <c r="A53" s="19">
        <v>42551</v>
      </c>
      <c r="B53" s="24">
        <v>219024</v>
      </c>
      <c r="C53" s="24">
        <f t="shared" si="0"/>
        <v>21472.666666666657</v>
      </c>
      <c r="D53" s="24">
        <f t="shared" si="1"/>
        <v>21472666666.666656</v>
      </c>
      <c r="E53" s="25">
        <f t="shared" si="2"/>
        <v>440917.18001368904</v>
      </c>
      <c r="F53" s="25">
        <f t="shared" si="3"/>
        <v>11022.929500342227</v>
      </c>
      <c r="G53" s="25">
        <f t="shared" si="4"/>
        <v>10802.470910335382</v>
      </c>
      <c r="H53" s="25">
        <f t="shared" si="5"/>
        <v>907407.556468172</v>
      </c>
      <c r="I53">
        <f t="shared" si="6"/>
        <v>0.90740755646817195</v>
      </c>
      <c r="J53">
        <f t="shared" si="7"/>
        <v>0.77777790554414739</v>
      </c>
      <c r="K53">
        <f>J53+'PA Frack Wells (84)'!$D$73</f>
        <v>0.8290852379454221</v>
      </c>
    </row>
    <row r="54" spans="1:12">
      <c r="A54" s="19">
        <v>42916</v>
      </c>
      <c r="B54" s="24">
        <v>222877</v>
      </c>
      <c r="C54" s="24">
        <f t="shared" si="0"/>
        <v>25325.666666666657</v>
      </c>
      <c r="D54" s="24">
        <f t="shared" si="1"/>
        <v>25325666666.666656</v>
      </c>
      <c r="E54" s="25">
        <f t="shared" si="2"/>
        <v>520034.22313483892</v>
      </c>
      <c r="F54" s="25">
        <f t="shared" si="3"/>
        <v>13000.855578370974</v>
      </c>
      <c r="G54" s="25">
        <f t="shared" si="4"/>
        <v>12740.838466803554</v>
      </c>
      <c r="H54" s="25">
        <f t="shared" si="5"/>
        <v>1070230.4312114986</v>
      </c>
      <c r="I54">
        <f t="shared" si="6"/>
        <v>1.0702304312114985</v>
      </c>
      <c r="J54">
        <f t="shared" si="7"/>
        <v>0.91734036960985588</v>
      </c>
      <c r="K54">
        <f>J54+'PA Frack Wells (84)'!$D$73</f>
        <v>0.9686477020111306</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84</v>
      </c>
      <c r="G62" s="12" t="s">
        <v>81</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6" spans="2:9">
      <c r="B66" s="20" t="s">
        <v>82</v>
      </c>
      <c r="C66" s="20">
        <f>AVERAGE($B$34:$B$42)</f>
        <v>197551.33333333334</v>
      </c>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nka1LGOLHwqKr7GJie0rtxVrloM/g1WUiJeJ72rzN+qqPqKZeCtr+KgI3+oFflxk1fB5LJMmqyJRYyPB6/G9ug==" saltValue="zotlmuFOEb2c8FliVPqI9Q=="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700-000000000000}"/>
    <hyperlink ref="G60" r:id="rId1" xr:uid="{00000000-0004-0000-0700-000001000000}"/>
    <hyperlink ref="G62" r:id="rId2" xr:uid="{00000000-0004-0000-0700-000002000000}"/>
    <hyperlink ref="G63" r:id="rId3" xr:uid="{00000000-0004-0000-0700-000003000000}"/>
    <hyperlink ref="G65" r:id="rId4" xr:uid="{00000000-0004-0000-0700-000004000000}"/>
    <hyperlink ref="B71" r:id="rId5" xr:uid="{00000000-0004-0000-0700-000005000000}"/>
    <hyperlink ref="B75" r:id="rId6" xr:uid="{00000000-0004-0000-0700-000006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5"/>
  <sheetViews>
    <sheetView topLeftCell="A37" workbookViewId="0">
      <selection activeCell="D64" sqref="D64"/>
    </sheetView>
  </sheetViews>
  <sheetFormatPr defaultRowHeight="14.25"/>
  <cols>
    <col min="1" max="1" width="14" customWidth="1"/>
    <col min="2" max="2" width="40.125" customWidth="1"/>
    <col min="3" max="3" width="9.875" customWidth="1"/>
    <col min="4" max="4" width="14.125" customWidth="1"/>
    <col min="5" max="5" width="12.125" customWidth="1"/>
    <col min="6" max="7" width="8.625" customWidth="1"/>
    <col min="8" max="8" width="11.625" customWidth="1"/>
    <col min="9" max="10" width="8" customWidth="1"/>
    <col min="11" max="11" width="17.875" customWidth="1"/>
    <col min="12" max="12" width="25" customWidth="1"/>
    <col min="13" max="1024" width="8" customWidth="1"/>
  </cols>
  <sheetData>
    <row r="1" spans="1:11" ht="15.75">
      <c r="A1" s="23" t="s">
        <v>25</v>
      </c>
      <c r="B1" s="14" t="s">
        <v>26</v>
      </c>
    </row>
    <row r="2" spans="1:11">
      <c r="A2" s="15" t="s">
        <v>27</v>
      </c>
      <c r="B2" s="16" t="s">
        <v>28</v>
      </c>
    </row>
    <row r="3" spans="1:11" ht="51">
      <c r="A3" s="17" t="s">
        <v>38</v>
      </c>
      <c r="B3" s="18" t="s">
        <v>39</v>
      </c>
      <c r="C3" s="33" t="s">
        <v>83</v>
      </c>
      <c r="D3" s="17" t="s">
        <v>63</v>
      </c>
      <c r="E3" s="17" t="s">
        <v>64</v>
      </c>
      <c r="F3" s="17" t="s">
        <v>65</v>
      </c>
      <c r="G3" s="17" t="s">
        <v>66</v>
      </c>
      <c r="H3" s="17" t="s">
        <v>67</v>
      </c>
      <c r="I3" s="17" t="s">
        <v>68</v>
      </c>
      <c r="J3" s="17" t="s">
        <v>69</v>
      </c>
      <c r="K3" s="17" t="s">
        <v>70</v>
      </c>
    </row>
    <row r="4" spans="1:11" hidden="1">
      <c r="A4" s="19">
        <v>24653</v>
      </c>
    </row>
    <row r="5" spans="1:11" hidden="1">
      <c r="A5" s="19">
        <v>25019</v>
      </c>
    </row>
    <row r="6" spans="1:11" hidden="1">
      <c r="A6" s="19">
        <v>25384</v>
      </c>
    </row>
    <row r="7" spans="1:11" hidden="1">
      <c r="A7" s="19">
        <v>25749</v>
      </c>
    </row>
    <row r="8" spans="1:11" hidden="1">
      <c r="A8" s="19">
        <v>26114</v>
      </c>
    </row>
    <row r="9" spans="1:11" hidden="1">
      <c r="A9" s="19">
        <v>26480</v>
      </c>
    </row>
    <row r="10" spans="1:11" hidden="1">
      <c r="A10" s="19">
        <v>26845</v>
      </c>
    </row>
    <row r="11" spans="1:11" hidden="1">
      <c r="A11" s="19">
        <v>27210</v>
      </c>
    </row>
    <row r="12" spans="1:11" hidden="1">
      <c r="A12" s="19">
        <v>27575</v>
      </c>
    </row>
    <row r="13" spans="1:11" hidden="1">
      <c r="A13" s="19">
        <v>27941</v>
      </c>
    </row>
    <row r="14" spans="1:11" hidden="1">
      <c r="A14" s="19">
        <v>28306</v>
      </c>
    </row>
    <row r="15" spans="1:11" hidden="1">
      <c r="A15" s="19">
        <v>28671</v>
      </c>
    </row>
    <row r="16" spans="1:11" hidden="1">
      <c r="A16" s="19">
        <v>29036</v>
      </c>
    </row>
    <row r="17" spans="1:1" hidden="1">
      <c r="A17" s="19">
        <v>29402</v>
      </c>
    </row>
    <row r="18" spans="1:1" hidden="1">
      <c r="A18" s="19">
        <v>29767</v>
      </c>
    </row>
    <row r="19" spans="1:1" hidden="1">
      <c r="A19" s="19">
        <v>30132</v>
      </c>
    </row>
    <row r="20" spans="1:1" hidden="1">
      <c r="A20" s="19">
        <v>30497</v>
      </c>
    </row>
    <row r="21" spans="1:1" hidden="1">
      <c r="A21" s="19">
        <v>30863</v>
      </c>
    </row>
    <row r="22" spans="1:1" hidden="1">
      <c r="A22" s="19">
        <v>31228</v>
      </c>
    </row>
    <row r="23" spans="1:1" hidden="1">
      <c r="A23" s="19">
        <v>31593</v>
      </c>
    </row>
    <row r="24" spans="1:1" hidden="1">
      <c r="A24" s="19">
        <v>31958</v>
      </c>
    </row>
    <row r="25" spans="1:1" hidden="1">
      <c r="A25" s="19">
        <v>32324</v>
      </c>
    </row>
    <row r="26" spans="1:1" hidden="1">
      <c r="A26" s="19">
        <v>32689</v>
      </c>
    </row>
    <row r="27" spans="1:1" hidden="1">
      <c r="A27" s="19">
        <v>33054</v>
      </c>
    </row>
    <row r="28" spans="1:1" hidden="1">
      <c r="A28" s="19">
        <v>33419</v>
      </c>
    </row>
    <row r="29" spans="1:1" hidden="1">
      <c r="A29" s="19">
        <v>33785</v>
      </c>
    </row>
    <row r="30" spans="1:1" hidden="1">
      <c r="A30" s="19">
        <v>34150</v>
      </c>
    </row>
    <row r="31" spans="1:1" hidden="1">
      <c r="A31" s="19">
        <v>34515</v>
      </c>
    </row>
    <row r="32" spans="1:1" hidden="1">
      <c r="A32" s="19">
        <v>34880</v>
      </c>
    </row>
    <row r="33" spans="1:12" hidden="1">
      <c r="A33" s="19">
        <v>35246</v>
      </c>
    </row>
    <row r="34" spans="1:12">
      <c r="A34" s="19">
        <v>35611</v>
      </c>
      <c r="B34">
        <v>212017</v>
      </c>
      <c r="L34" s="211" t="s">
        <v>71</v>
      </c>
    </row>
    <row r="35" spans="1:12">
      <c r="A35" s="19">
        <v>35976</v>
      </c>
      <c r="B35">
        <v>188552</v>
      </c>
      <c r="L35" s="211"/>
    </row>
    <row r="36" spans="1:12">
      <c r="A36" s="19">
        <v>36341</v>
      </c>
      <c r="B36">
        <v>196350</v>
      </c>
      <c r="L36" s="211"/>
    </row>
    <row r="37" spans="1:12">
      <c r="A37" s="19">
        <v>36707</v>
      </c>
      <c r="B37">
        <v>212133</v>
      </c>
      <c r="L37" s="211"/>
    </row>
    <row r="38" spans="1:12">
      <c r="A38" s="19">
        <v>37072</v>
      </c>
      <c r="B38">
        <v>178376</v>
      </c>
      <c r="L38" s="211"/>
    </row>
    <row r="39" spans="1:12">
      <c r="A39" s="19">
        <v>37437</v>
      </c>
      <c r="B39">
        <v>196276</v>
      </c>
      <c r="L39" s="211"/>
    </row>
    <row r="40" spans="1:12">
      <c r="A40" s="19">
        <v>37802</v>
      </c>
      <c r="B40">
        <v>197024</v>
      </c>
      <c r="L40" s="211"/>
    </row>
    <row r="41" spans="1:12">
      <c r="A41" s="19">
        <v>38168</v>
      </c>
      <c r="B41">
        <v>194725</v>
      </c>
      <c r="L41" s="211"/>
    </row>
    <row r="42" spans="1:12">
      <c r="A42" s="19">
        <v>38533</v>
      </c>
      <c r="B42">
        <v>202509</v>
      </c>
      <c r="L42" s="211"/>
    </row>
    <row r="43" spans="1:12">
      <c r="A43" s="19">
        <v>38898</v>
      </c>
      <c r="B43" s="24">
        <v>182294</v>
      </c>
      <c r="C43" s="24"/>
      <c r="L43" s="211"/>
    </row>
    <row r="44" spans="1:12">
      <c r="A44" s="19">
        <v>39263</v>
      </c>
      <c r="B44" s="24">
        <v>201053</v>
      </c>
      <c r="C44" s="24">
        <f t="shared" ref="C44:C54" si="0">B44*0.67</f>
        <v>134705.51</v>
      </c>
      <c r="D44" s="24">
        <f t="shared" ref="D44:D54" si="1">C44*1000000</f>
        <v>134705510000.00002</v>
      </c>
      <c r="E44" s="25">
        <f t="shared" ref="E44:E54" si="2">D44/$C$63</f>
        <v>2766026.899383984</v>
      </c>
      <c r="F44" s="25">
        <f t="shared" ref="F44:F54" si="3">E44*$C$60</f>
        <v>69150.672484599607</v>
      </c>
      <c r="G44" s="25">
        <f t="shared" ref="G44:G54" si="4">F44*$C$64</f>
        <v>67767.659034907614</v>
      </c>
      <c r="H44" s="25">
        <f t="shared" ref="H44:H54" si="5">G44*$C$62</f>
        <v>1897494.4529774133</v>
      </c>
      <c r="I44">
        <f t="shared" ref="I44:I54" si="6">H44/1000000</f>
        <v>1.8974944529774134</v>
      </c>
      <c r="J44">
        <f t="shared" ref="J44:J54" si="7">I44*$C$58</f>
        <v>1.6264238168377827</v>
      </c>
      <c r="K44">
        <f>J44+'PA Frack Wells'!$D$79</f>
        <v>1.7489617331686917</v>
      </c>
    </row>
    <row r="45" spans="1:12">
      <c r="A45" s="19">
        <v>39629</v>
      </c>
      <c r="B45" s="24">
        <v>196067</v>
      </c>
      <c r="C45" s="24">
        <f t="shared" si="0"/>
        <v>131364.89000000001</v>
      </c>
      <c r="D45" s="24">
        <f t="shared" si="1"/>
        <v>131364890000.00002</v>
      </c>
      <c r="E45" s="25">
        <f t="shared" si="2"/>
        <v>2697431.0061601647</v>
      </c>
      <c r="F45" s="25">
        <f t="shared" si="3"/>
        <v>67435.775154004121</v>
      </c>
      <c r="G45" s="25">
        <f t="shared" si="4"/>
        <v>66087.059650924042</v>
      </c>
      <c r="H45" s="25">
        <f t="shared" si="5"/>
        <v>1850437.6702258731</v>
      </c>
      <c r="I45">
        <f t="shared" si="6"/>
        <v>1.8504376702258731</v>
      </c>
      <c r="J45">
        <f t="shared" si="7"/>
        <v>1.586089431622177</v>
      </c>
      <c r="K45">
        <f>J45+'PA Frack Wells'!$D$79</f>
        <v>1.708627347953086</v>
      </c>
    </row>
    <row r="46" spans="1:12">
      <c r="A46" s="19">
        <v>39994</v>
      </c>
      <c r="B46" s="24">
        <v>196510</v>
      </c>
      <c r="C46" s="24">
        <f t="shared" si="0"/>
        <v>131661.70000000001</v>
      </c>
      <c r="D46" s="24">
        <f t="shared" si="1"/>
        <v>131661700000.00002</v>
      </c>
      <c r="E46" s="25">
        <f t="shared" si="2"/>
        <v>2703525.6673511295</v>
      </c>
      <c r="F46" s="25">
        <f t="shared" si="3"/>
        <v>67588.141683778245</v>
      </c>
      <c r="G46" s="25">
        <f t="shared" si="4"/>
        <v>66236.378850102672</v>
      </c>
      <c r="H46" s="25">
        <f t="shared" si="5"/>
        <v>1854618.6078028749</v>
      </c>
      <c r="I46">
        <f t="shared" si="6"/>
        <v>1.8546186078028748</v>
      </c>
      <c r="J46">
        <f t="shared" si="7"/>
        <v>1.589673092402464</v>
      </c>
      <c r="K46">
        <f>J46+'PA Frack Wells'!$D$79</f>
        <v>1.7122110087333731</v>
      </c>
    </row>
    <row r="47" spans="1:12">
      <c r="A47" s="19">
        <v>40359</v>
      </c>
      <c r="B47" s="24">
        <v>212020</v>
      </c>
      <c r="C47" s="24">
        <f t="shared" si="0"/>
        <v>142053.4</v>
      </c>
      <c r="D47" s="24">
        <f t="shared" si="1"/>
        <v>142053400000</v>
      </c>
      <c r="E47" s="25">
        <f t="shared" si="2"/>
        <v>2916907.5975359343</v>
      </c>
      <c r="F47" s="25">
        <f t="shared" si="3"/>
        <v>72922.689938398355</v>
      </c>
      <c r="G47" s="25">
        <f t="shared" si="4"/>
        <v>71464.23613963039</v>
      </c>
      <c r="H47" s="25">
        <f t="shared" si="5"/>
        <v>2000998.611909651</v>
      </c>
      <c r="I47">
        <f t="shared" si="6"/>
        <v>2.000998611909651</v>
      </c>
      <c r="J47">
        <f t="shared" si="7"/>
        <v>1.7151416673511293</v>
      </c>
      <c r="K47">
        <f>J47+'PA Frack Wells'!$D$79</f>
        <v>1.8376795836820383</v>
      </c>
    </row>
    <row r="48" spans="1:12">
      <c r="A48" s="19">
        <v>40724</v>
      </c>
      <c r="B48" s="24">
        <v>193986</v>
      </c>
      <c r="C48" s="24">
        <f t="shared" si="0"/>
        <v>129970.62000000001</v>
      </c>
      <c r="D48" s="24">
        <f t="shared" si="1"/>
        <v>129970620000.00002</v>
      </c>
      <c r="E48" s="25">
        <f t="shared" si="2"/>
        <v>2668801.2320328546</v>
      </c>
      <c r="F48" s="25">
        <f t="shared" si="3"/>
        <v>66720.030800821361</v>
      </c>
      <c r="G48" s="25">
        <f t="shared" si="4"/>
        <v>65385.630184804933</v>
      </c>
      <c r="H48" s="25">
        <f t="shared" si="5"/>
        <v>1830797.6451745383</v>
      </c>
      <c r="I48">
        <f t="shared" si="6"/>
        <v>1.8307976451745382</v>
      </c>
      <c r="J48">
        <f t="shared" si="7"/>
        <v>1.5692551244353183</v>
      </c>
      <c r="K48">
        <f>J48+'PA Frack Wells'!$D$79</f>
        <v>1.6917930407662274</v>
      </c>
    </row>
    <row r="49" spans="1:12">
      <c r="A49" s="19">
        <v>41090</v>
      </c>
      <c r="B49" s="24">
        <v>208946</v>
      </c>
      <c r="C49" s="24">
        <f t="shared" si="0"/>
        <v>139993.82</v>
      </c>
      <c r="D49" s="24">
        <f t="shared" si="1"/>
        <v>139993820000</v>
      </c>
      <c r="E49" s="25">
        <f t="shared" si="2"/>
        <v>2874616.4271047227</v>
      </c>
      <c r="F49" s="25">
        <f t="shared" si="3"/>
        <v>71865.410677618071</v>
      </c>
      <c r="G49" s="25">
        <f t="shared" si="4"/>
        <v>70428.102464065712</v>
      </c>
      <c r="H49" s="25">
        <f t="shared" si="5"/>
        <v>1971986.8689938399</v>
      </c>
      <c r="I49">
        <f t="shared" si="6"/>
        <v>1.97198686899384</v>
      </c>
      <c r="J49">
        <f t="shared" si="7"/>
        <v>1.6902744591375771</v>
      </c>
      <c r="K49">
        <f>J49+'PA Frack Wells'!$D$79</f>
        <v>1.8128123754684862</v>
      </c>
    </row>
    <row r="50" spans="1:12">
      <c r="A50" s="19">
        <v>41455</v>
      </c>
      <c r="B50" s="24">
        <v>197356</v>
      </c>
      <c r="C50" s="24">
        <f t="shared" si="0"/>
        <v>132228.52000000002</v>
      </c>
      <c r="D50" s="24">
        <f t="shared" si="1"/>
        <v>132228520000.00002</v>
      </c>
      <c r="E50" s="25">
        <f t="shared" si="2"/>
        <v>2715164.6817248464</v>
      </c>
      <c r="F50" s="25">
        <f t="shared" si="3"/>
        <v>67879.117043121165</v>
      </c>
      <c r="G50" s="25">
        <f t="shared" si="4"/>
        <v>66521.534702258738</v>
      </c>
      <c r="H50" s="25">
        <f t="shared" si="5"/>
        <v>1862602.9716632445</v>
      </c>
      <c r="I50">
        <f t="shared" si="6"/>
        <v>1.8626029716632446</v>
      </c>
      <c r="J50">
        <f t="shared" si="7"/>
        <v>1.5965168328542096</v>
      </c>
      <c r="K50">
        <f>J50+'PA Frack Wells'!$D$79</f>
        <v>1.7190547491851187</v>
      </c>
    </row>
    <row r="51" spans="1:12">
      <c r="A51" s="19">
        <v>41820</v>
      </c>
      <c r="B51" s="24">
        <v>207103</v>
      </c>
      <c r="C51" s="24">
        <f t="shared" si="0"/>
        <v>138759.01</v>
      </c>
      <c r="D51" s="24">
        <f t="shared" si="1"/>
        <v>138759010000</v>
      </c>
      <c r="E51" s="25">
        <f t="shared" si="2"/>
        <v>2849260.9856262836</v>
      </c>
      <c r="F51" s="25">
        <f t="shared" si="3"/>
        <v>71231.524640657095</v>
      </c>
      <c r="G51" s="25">
        <f t="shared" si="4"/>
        <v>69806.894147843952</v>
      </c>
      <c r="H51" s="25">
        <f t="shared" si="5"/>
        <v>1954593.0361396307</v>
      </c>
      <c r="I51">
        <f t="shared" si="6"/>
        <v>1.9545930361396306</v>
      </c>
      <c r="J51">
        <f t="shared" si="7"/>
        <v>1.6753654595482548</v>
      </c>
      <c r="K51">
        <f>J51+'PA Frack Wells'!$D$79</f>
        <v>1.7979033758791638</v>
      </c>
    </row>
    <row r="52" spans="1:12">
      <c r="A52" s="19">
        <v>42185</v>
      </c>
      <c r="B52" s="24">
        <v>215005</v>
      </c>
      <c r="C52" s="24">
        <f t="shared" si="0"/>
        <v>144053.35</v>
      </c>
      <c r="D52" s="24">
        <f t="shared" si="1"/>
        <v>144053350000</v>
      </c>
      <c r="E52" s="25">
        <f t="shared" si="2"/>
        <v>2957974.3326488705</v>
      </c>
      <c r="F52" s="25">
        <f t="shared" si="3"/>
        <v>73949.358316221769</v>
      </c>
      <c r="G52" s="25">
        <f t="shared" si="4"/>
        <v>72470.371149897328</v>
      </c>
      <c r="H52" s="25">
        <f t="shared" si="5"/>
        <v>2029170.3921971251</v>
      </c>
      <c r="I52">
        <f t="shared" si="6"/>
        <v>2.0291703921971251</v>
      </c>
      <c r="J52">
        <f t="shared" si="7"/>
        <v>1.7392889075975357</v>
      </c>
      <c r="K52">
        <f>J52+'PA Frack Wells'!$D$79</f>
        <v>1.8618268239284448</v>
      </c>
    </row>
    <row r="53" spans="1:12">
      <c r="A53" s="19">
        <v>42551</v>
      </c>
      <c r="B53" s="24">
        <v>219024</v>
      </c>
      <c r="C53" s="24">
        <f t="shared" si="0"/>
        <v>146746.08000000002</v>
      </c>
      <c r="D53" s="24">
        <f t="shared" si="1"/>
        <v>146746080000.00003</v>
      </c>
      <c r="E53" s="25">
        <f t="shared" si="2"/>
        <v>3013266.529774128</v>
      </c>
      <c r="F53" s="25">
        <f t="shared" si="3"/>
        <v>75331.6632443532</v>
      </c>
      <c r="G53" s="25">
        <f t="shared" si="4"/>
        <v>73825.029979466141</v>
      </c>
      <c r="H53" s="25">
        <f t="shared" si="5"/>
        <v>2067100.8394250521</v>
      </c>
      <c r="I53">
        <f t="shared" si="6"/>
        <v>2.0671008394250521</v>
      </c>
      <c r="J53">
        <f t="shared" si="7"/>
        <v>1.7718007195071874</v>
      </c>
      <c r="K53">
        <f>J53+'PA Frack Wells'!$D$79</f>
        <v>1.8943386358380965</v>
      </c>
    </row>
    <row r="54" spans="1:12">
      <c r="A54" s="19">
        <v>42916</v>
      </c>
      <c r="B54" s="24">
        <v>222877</v>
      </c>
      <c r="C54" s="24">
        <f t="shared" si="0"/>
        <v>149327.59</v>
      </c>
      <c r="D54" s="24">
        <f t="shared" si="1"/>
        <v>149327590000</v>
      </c>
      <c r="E54" s="25">
        <f t="shared" si="2"/>
        <v>3066274.9486652976</v>
      </c>
      <c r="F54" s="25">
        <f t="shared" si="3"/>
        <v>76656.873716632443</v>
      </c>
      <c r="G54" s="25">
        <f t="shared" si="4"/>
        <v>75123.736242299798</v>
      </c>
      <c r="H54" s="25">
        <f t="shared" si="5"/>
        <v>2103464.6147843944</v>
      </c>
      <c r="I54">
        <f t="shared" si="6"/>
        <v>2.1034646147843943</v>
      </c>
      <c r="J54">
        <f t="shared" si="7"/>
        <v>1.8029696698151949</v>
      </c>
      <c r="K54">
        <f>J54+'PA Frack Wells'!$D$79</f>
        <v>1.925507586146104</v>
      </c>
    </row>
    <row r="55" spans="1:12">
      <c r="B55" s="24"/>
    </row>
    <row r="57" spans="1:12" ht="15" thickBot="1">
      <c r="B57" s="26" t="s">
        <v>72</v>
      </c>
      <c r="C57" s="26" t="s">
        <v>73</v>
      </c>
      <c r="D57" s="26"/>
      <c r="E57" s="27"/>
      <c r="F57" s="27"/>
      <c r="G57" s="212" t="s">
        <v>49</v>
      </c>
      <c r="H57" s="212"/>
      <c r="I57" s="212"/>
      <c r="J57" s="212"/>
      <c r="K57" s="212"/>
      <c r="L57" s="212"/>
    </row>
    <row r="58" spans="1:12">
      <c r="B58" s="20" t="s">
        <v>74</v>
      </c>
      <c r="C58" s="28">
        <f>6/7</f>
        <v>0.8571428571428571</v>
      </c>
      <c r="D58" s="29"/>
      <c r="E58" s="30"/>
      <c r="F58" s="30"/>
      <c r="G58" s="31" t="s">
        <v>75</v>
      </c>
      <c r="H58" s="32"/>
      <c r="I58" s="32"/>
      <c r="J58" s="32"/>
      <c r="K58" s="32"/>
      <c r="L58" s="32"/>
    </row>
    <row r="59" spans="1:12" ht="12.75" customHeight="1">
      <c r="G59" s="213" t="s">
        <v>50</v>
      </c>
      <c r="H59" s="213"/>
      <c r="I59" s="213"/>
      <c r="J59" s="213"/>
      <c r="K59" s="213"/>
      <c r="L59" s="213"/>
    </row>
    <row r="60" spans="1:12" ht="12.75" customHeight="1">
      <c r="B60" s="20" t="s">
        <v>51</v>
      </c>
      <c r="C60" s="20">
        <v>2.5000000000000001E-2</v>
      </c>
      <c r="G60" s="213" t="s">
        <v>52</v>
      </c>
      <c r="H60" s="213"/>
      <c r="I60" s="213"/>
      <c r="J60" s="213"/>
      <c r="K60" s="213"/>
      <c r="L60" s="213"/>
    </row>
    <row r="61" spans="1:12">
      <c r="B61" s="20" t="s">
        <v>53</v>
      </c>
      <c r="C61" s="20">
        <v>26.3</v>
      </c>
    </row>
    <row r="62" spans="1:12">
      <c r="B62" s="20" t="s">
        <v>54</v>
      </c>
      <c r="C62" s="20">
        <v>28</v>
      </c>
      <c r="G62" t="s">
        <v>55</v>
      </c>
    </row>
    <row r="63" spans="1:12" ht="12.75" customHeight="1">
      <c r="B63" s="20" t="s">
        <v>56</v>
      </c>
      <c r="C63" s="21">
        <v>48700</v>
      </c>
      <c r="D63" t="s">
        <v>57</v>
      </c>
      <c r="G63" s="213" t="s">
        <v>58</v>
      </c>
      <c r="H63" s="213"/>
      <c r="I63" s="213"/>
      <c r="J63" s="213"/>
      <c r="K63" s="213"/>
      <c r="L63" s="213"/>
    </row>
    <row r="64" spans="1:12" ht="12.75" customHeight="1">
      <c r="B64" s="20" t="s">
        <v>59</v>
      </c>
      <c r="C64" s="20">
        <v>0.98</v>
      </c>
      <c r="D64" s="3" t="s">
        <v>60</v>
      </c>
      <c r="G64" s="213"/>
      <c r="H64" s="213"/>
      <c r="I64" s="213"/>
      <c r="J64" s="213"/>
      <c r="K64" s="213"/>
    </row>
    <row r="65" spans="2:9">
      <c r="D65" s="3" t="s">
        <v>76</v>
      </c>
      <c r="G65" s="12" t="s">
        <v>77</v>
      </c>
    </row>
    <row r="66" spans="2:9">
      <c r="B66" s="20"/>
      <c r="C66" s="28"/>
    </row>
    <row r="68" spans="2:9">
      <c r="G68" s="12"/>
    </row>
    <row r="70" spans="2:9" ht="72" customHeight="1">
      <c r="B70" s="209" t="s">
        <v>78</v>
      </c>
      <c r="C70" s="209"/>
      <c r="D70" s="209"/>
      <c r="E70" s="209"/>
      <c r="F70" s="209"/>
      <c r="G70" s="209"/>
      <c r="H70" s="209"/>
      <c r="I70" s="209"/>
    </row>
    <row r="71" spans="2:9">
      <c r="B71" s="12" t="s">
        <v>79</v>
      </c>
    </row>
    <row r="74" spans="2:9">
      <c r="B74" s="3" t="s">
        <v>80</v>
      </c>
    </row>
    <row r="75" spans="2:9">
      <c r="B75" s="12" t="s">
        <v>77</v>
      </c>
    </row>
  </sheetData>
  <sheetProtection algorithmName="SHA-512" hashValue="p+/0CcqbKXx14qqc7fTfx+jkcIAtwNP7xA8f9bTswZBWn3cm0kWu1x6ptgAQxuhmP10T4sM1QMvieZ47i6tpuQ==" saltValue="TBHw577Z8V5dMG4DRQGA1Q==" spinCount="100000" sheet="1" objects="1" scenarios="1"/>
  <mergeCells count="7">
    <mergeCell ref="B70:I70"/>
    <mergeCell ref="L34:L43"/>
    <mergeCell ref="G57:L57"/>
    <mergeCell ref="G59:L59"/>
    <mergeCell ref="G60:L60"/>
    <mergeCell ref="G63:L63"/>
    <mergeCell ref="G64:K64"/>
  </mergeCells>
  <hyperlinks>
    <hyperlink ref="A1" location="Contents!A1" display="Back to Contents" xr:uid="{00000000-0004-0000-0800-000000000000}"/>
    <hyperlink ref="G60" r:id="rId1" xr:uid="{00000000-0004-0000-0800-000001000000}"/>
    <hyperlink ref="G63" r:id="rId2" xr:uid="{00000000-0004-0000-0800-000002000000}"/>
    <hyperlink ref="G65" r:id="rId3" xr:uid="{00000000-0004-0000-0800-000003000000}"/>
    <hyperlink ref="B71" r:id="rId4" xr:uid="{00000000-0004-0000-0800-000004000000}"/>
    <hyperlink ref="B75" r:id="rId5" xr:uid="{00000000-0004-0000-0800-000005000000}"/>
  </hyperlinks>
  <pageMargins left="0.70000000000000007" right="0.70000000000000007" top="1.1437000000000002" bottom="1.1437000000000002" header="0.75000000000000011" footer="0.75000000000000011"/>
  <pageSetup paperSize="0" fitToWidth="0" fitToHeight="0" orientation="portrait" horizontalDpi="0" verticalDpi="0" copies="0"/>
  <headerFooter alignWithMargins="0"/>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E6D3471F7F04449211EBF97CCD3EEF" ma:contentTypeVersion="11" ma:contentTypeDescription="Create a new document." ma:contentTypeScope="" ma:versionID="1fa121f0f7dadc83016221ac4c0a73d5">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7CA9E6-F243-49AD-A53F-738E9188C559}"/>
</file>

<file path=customXml/itemProps2.xml><?xml version="1.0" encoding="utf-8"?>
<ds:datastoreItem xmlns:ds="http://schemas.openxmlformats.org/officeDocument/2006/customXml" ds:itemID="{58E02A1D-4EC1-4ED9-BCF0-F3594BEAD7BE}"/>
</file>

<file path=customXml/itemProps3.xml><?xml version="1.0" encoding="utf-8"?>
<ds:datastoreItem xmlns:ds="http://schemas.openxmlformats.org/officeDocument/2006/customXml" ds:itemID="{8BC022AE-FAA8-4B95-B7DD-21C51066E1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Contents</vt:lpstr>
      <vt:lpstr>Data 1</vt:lpstr>
      <vt:lpstr>Total Fracking Leakage (2006)</vt:lpstr>
      <vt:lpstr>TFL (2006) (20yr GWP)</vt:lpstr>
      <vt:lpstr>Total Fracking Leakage (Maximum</vt:lpstr>
      <vt:lpstr>TFL (Maximum (20yr GWP)</vt:lpstr>
      <vt:lpstr>Total Fracking Leakage (Average</vt:lpstr>
      <vt:lpstr>TFL (Average) (20yr GWP)</vt:lpstr>
      <vt:lpstr>Total Fracking Leakage (67%)</vt:lpstr>
      <vt:lpstr>TFL (67%) (20yr GWP)</vt:lpstr>
      <vt:lpstr>PA Frack Wells</vt:lpstr>
      <vt:lpstr>Emission Calculations</vt:lpstr>
      <vt:lpstr>Emission Calculations (2)</vt:lpstr>
      <vt:lpstr>Emission Calculations (3)</vt:lpstr>
      <vt:lpstr>Emission Calculations (4)</vt:lpstr>
      <vt:lpstr>Guidance and Sources</vt:lpstr>
      <vt:lpstr>PA Frack Wells (84)</vt:lpstr>
      <vt:lpstr>Emission Calculations (84)</vt:lpstr>
      <vt:lpstr>Emission Calculations (84) (2)</vt:lpstr>
      <vt:lpstr>Emission Calculations (84) (3)</vt:lpstr>
      <vt:lpstr>Emission Calculations (84) (4)</vt:lpstr>
      <vt:lpstr>Guidance and Sources (84)</vt:lpstr>
      <vt:lpstr>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Methane Total Consumption and Conversion</dc:title>
  <dc:creator>Erick Thunell</dc:creator>
  <cp:lastModifiedBy>Susan Casey</cp:lastModifiedBy>
  <dcterms:created xsi:type="dcterms:W3CDTF">2019-12-30T18:46:19Z</dcterms:created>
  <dcterms:modified xsi:type="dcterms:W3CDTF">2020-10-07T18:00:17Z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0x010100D5E6D3471F7F04449211EBF97CCD3EEF</vt:lpwstr>
  </property>
</Properties>
</file>