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customXml/itemProps1.xml" ContentType="application/vnd.openxmlformats-officedocument.customXmlPropertie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Default Extension="xml" ContentType="application/xml"/>
  <Override PartName="/xl/worksheets/sheet3.xml" ContentType="application/vnd.openxmlformats-officedocument.spreadsheetml.worksheet+xml"/>
  <Override PartName="/docProps/custom.xml" ContentType="application/vnd.openxmlformats-officedocument.custom-properties+xml"/>
  <Override PartName="/xl/worksheets/sheet69.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0" yWindow="420" windowWidth="18090" windowHeight="11235" tabRatio="841"/>
  </bookViews>
  <sheets>
    <sheet name="ReadME" sheetId="98" r:id="rId1"/>
    <sheet name="Summary" sheetId="8" r:id="rId2"/>
    <sheet name="BMP info" sheetId="1" r:id="rId3"/>
    <sheet name="TN eos" sheetId="81" r:id="rId4"/>
    <sheet name="TN del" sheetId="77" r:id="rId5"/>
    <sheet name="TP eos" sheetId="82" r:id="rId6"/>
    <sheet name="TP del" sheetId="83" r:id="rId7"/>
    <sheet name="TSS eos" sheetId="84" r:id="rId8"/>
    <sheet name="TSS del" sheetId="85" r:id="rId9"/>
    <sheet name="1" sheetId="63" r:id="rId10"/>
    <sheet name="2" sheetId="64" r:id="rId11"/>
    <sheet name="3" sheetId="47" r:id="rId12"/>
    <sheet name="4" sheetId="50" r:id="rId13"/>
    <sheet name="5" sheetId="49" r:id="rId14"/>
    <sheet name="6" sheetId="51" r:id="rId15"/>
    <sheet name="7" sheetId="52" r:id="rId16"/>
    <sheet name="8" sheetId="65" r:id="rId17"/>
    <sheet name="9" sheetId="48" r:id="rId18"/>
    <sheet name="10" sheetId="53" r:id="rId19"/>
    <sheet name="11" sheetId="34" r:id="rId20"/>
    <sheet name="12" sheetId="54" r:id="rId21"/>
    <sheet name="13" sheetId="33" r:id="rId22"/>
    <sheet name="14" sheetId="66" r:id="rId23"/>
    <sheet name="15" sheetId="67" r:id="rId24"/>
    <sheet name="16" sheetId="55" r:id="rId25"/>
    <sheet name="17" sheetId="68" r:id="rId26"/>
    <sheet name="18" sheetId="69" r:id="rId27"/>
    <sheet name="19" sheetId="56" r:id="rId28"/>
    <sheet name="20" sheetId="59" r:id="rId29"/>
    <sheet name="21" sheetId="70" r:id="rId30"/>
    <sheet name="22" sheetId="60" r:id="rId31"/>
    <sheet name="23" sheetId="32" r:id="rId32"/>
    <sheet name="24" sheetId="58" r:id="rId33"/>
    <sheet name="25" sheetId="71" r:id="rId34"/>
    <sheet name="26" sheetId="57" r:id="rId35"/>
    <sheet name="27" sheetId="72" r:id="rId36"/>
    <sheet name="28" sheetId="61" r:id="rId37"/>
    <sheet name="29" sheetId="73" r:id="rId38"/>
    <sheet name="30" sheetId="62" r:id="rId39"/>
    <sheet name="31" sheetId="74" r:id="rId40"/>
    <sheet name="32" sheetId="75" r:id="rId41"/>
    <sheet name="33" sheetId="79" r:id="rId42"/>
    <sheet name="34" sheetId="28" r:id="rId43"/>
    <sheet name="35" sheetId="78" r:id="rId44"/>
    <sheet name="36a" sheetId="41" r:id="rId45"/>
    <sheet name="36b" sheetId="42" r:id="rId46"/>
    <sheet name="36c" sheetId="43" r:id="rId47"/>
    <sheet name="37a" sheetId="35" r:id="rId48"/>
    <sheet name="37b" sheetId="36" r:id="rId49"/>
    <sheet name="37c" sheetId="37" r:id="rId50"/>
    <sheet name="38a" sheetId="44" r:id="rId51"/>
    <sheet name="38b" sheetId="45" r:id="rId52"/>
    <sheet name="38c" sheetId="46" r:id="rId53"/>
    <sheet name="39" sheetId="9" r:id="rId54"/>
    <sheet name="40" sheetId="86" r:id="rId55"/>
    <sheet name="41" sheetId="87" r:id="rId56"/>
    <sheet name="42" sheetId="88" r:id="rId57"/>
    <sheet name="43" sheetId="13" r:id="rId58"/>
    <sheet name="44" sheetId="14" r:id="rId59"/>
    <sheet name="45" sheetId="90" r:id="rId60"/>
    <sheet name="46" sheetId="91" r:id="rId61"/>
    <sheet name="47" sheetId="6" r:id="rId62"/>
    <sheet name="48" sheetId="16" r:id="rId63"/>
    <sheet name="49" sheetId="18" r:id="rId64"/>
    <sheet name="50" sheetId="92" r:id="rId65"/>
    <sheet name="51" sheetId="93" r:id="rId66"/>
    <sheet name="52" sheetId="94" r:id="rId67"/>
    <sheet name="53" sheetId="95" r:id="rId68"/>
    <sheet name="54" sheetId="21" r:id="rId69"/>
    <sheet name="55" sheetId="25" r:id="rId70"/>
    <sheet name="56" sheetId="23" r:id="rId71"/>
    <sheet name="57" sheetId="22" r:id="rId72"/>
    <sheet name="58" sheetId="96" r:id="rId73"/>
    <sheet name="59" sheetId="97" r:id="rId74"/>
  </sheets>
  <calcPr calcId="125725"/>
</workbook>
</file>

<file path=xl/calcChain.xml><?xml version="1.0" encoding="utf-8"?>
<calcChain xmlns="http://schemas.openxmlformats.org/spreadsheetml/2006/main">
  <c r="D39" i="97"/>
  <c r="L37"/>
  <c r="D37" s="1"/>
  <c r="L36"/>
  <c r="D36" s="1"/>
  <c r="D38"/>
  <c r="D39" i="96"/>
  <c r="L37"/>
  <c r="D37" s="1"/>
  <c r="L36"/>
  <c r="D36" s="1"/>
  <c r="D38"/>
  <c r="D39" i="22"/>
  <c r="D38"/>
  <c r="L36"/>
  <c r="D36" s="1"/>
  <c r="L37"/>
  <c r="D37" s="1"/>
  <c r="D39" i="23"/>
  <c r="D38"/>
  <c r="L36"/>
  <c r="D36" s="1"/>
  <c r="L37"/>
  <c r="D37" s="1"/>
  <c r="D39" i="25"/>
  <c r="D38"/>
  <c r="L36"/>
  <c r="D36" s="1"/>
  <c r="L37"/>
  <c r="D37" s="1"/>
  <c r="D39" i="21"/>
  <c r="D38"/>
  <c r="L36"/>
  <c r="D36" s="1"/>
  <c r="L37"/>
  <c r="D37" s="1"/>
  <c r="D39" i="95"/>
  <c r="D34" s="1"/>
  <c r="D36"/>
  <c r="D37"/>
  <c r="D38"/>
  <c r="D39" i="94"/>
  <c r="D38"/>
  <c r="D36"/>
  <c r="D37"/>
  <c r="D39" i="93"/>
  <c r="L37"/>
  <c r="D37"/>
  <c r="L36"/>
  <c r="D36"/>
  <c r="D38"/>
  <c r="D39" i="92"/>
  <c r="L36"/>
  <c r="D36"/>
  <c r="L37"/>
  <c r="D37"/>
  <c r="D38"/>
  <c r="D39" i="18"/>
  <c r="D38"/>
  <c r="L36"/>
  <c r="D36" s="1"/>
  <c r="L37"/>
  <c r="D37" s="1"/>
  <c r="D39" i="16"/>
  <c r="D34" s="1"/>
  <c r="D39" i="6"/>
  <c r="D38"/>
  <c r="L36"/>
  <c r="D36"/>
  <c r="L37"/>
  <c r="D37"/>
  <c r="D39" i="91"/>
  <c r="L36"/>
  <c r="D36" s="1"/>
  <c r="L37"/>
  <c r="D37" s="1"/>
  <c r="D38"/>
  <c r="D39" i="90"/>
  <c r="L36"/>
  <c r="D36" s="1"/>
  <c r="L37"/>
  <c r="D37" s="1"/>
  <c r="D38"/>
  <c r="D39" i="14"/>
  <c r="D38"/>
  <c r="L36"/>
  <c r="D36"/>
  <c r="L37"/>
  <c r="D37"/>
  <c r="D39" i="13"/>
  <c r="D38"/>
  <c r="L36"/>
  <c r="D36"/>
  <c r="L37"/>
  <c r="D37"/>
  <c r="D39" i="88"/>
  <c r="D38"/>
  <c r="L36"/>
  <c r="D36"/>
  <c r="L37"/>
  <c r="D37"/>
  <c r="D39" i="87"/>
  <c r="D38"/>
  <c r="L36"/>
  <c r="D36"/>
  <c r="L37"/>
  <c r="D37"/>
  <c r="D39" i="86"/>
  <c r="D38"/>
  <c r="L36"/>
  <c r="D36"/>
  <c r="L37"/>
  <c r="D37"/>
  <c r="D39" i="9"/>
  <c r="D34" s="1"/>
  <c r="H67" i="85"/>
  <c r="G67"/>
  <c r="F67"/>
  <c r="H66"/>
  <c r="G66"/>
  <c r="F66"/>
  <c r="H61"/>
  <c r="G61"/>
  <c r="F61"/>
  <c r="H60"/>
  <c r="G60"/>
  <c r="F60"/>
  <c r="H59"/>
  <c r="G59"/>
  <c r="F59"/>
  <c r="H58"/>
  <c r="G58"/>
  <c r="F58"/>
  <c r="H54"/>
  <c r="G54"/>
  <c r="F54"/>
  <c r="H53"/>
  <c r="G53"/>
  <c r="F53"/>
  <c r="H50"/>
  <c r="G50"/>
  <c r="F50"/>
  <c r="H49"/>
  <c r="G49"/>
  <c r="F49"/>
  <c r="H48"/>
  <c r="G48"/>
  <c r="F48"/>
  <c r="H67" i="84"/>
  <c r="G67"/>
  <c r="F67"/>
  <c r="H66"/>
  <c r="G66"/>
  <c r="F66"/>
  <c r="H61"/>
  <c r="G61"/>
  <c r="F61"/>
  <c r="H60"/>
  <c r="G60"/>
  <c r="F60"/>
  <c r="H59"/>
  <c r="G59"/>
  <c r="F59"/>
  <c r="H58"/>
  <c r="G58"/>
  <c r="F58"/>
  <c r="H54"/>
  <c r="G54"/>
  <c r="F54"/>
  <c r="H53"/>
  <c r="G53"/>
  <c r="F53"/>
  <c r="H50"/>
  <c r="G50"/>
  <c r="F50"/>
  <c r="H49"/>
  <c r="G49"/>
  <c r="F49"/>
  <c r="H48"/>
  <c r="G48"/>
  <c r="F48"/>
  <c r="H67" i="83"/>
  <c r="G67"/>
  <c r="F67"/>
  <c r="H66"/>
  <c r="G66"/>
  <c r="F66"/>
  <c r="H61"/>
  <c r="G61"/>
  <c r="F61"/>
  <c r="H60"/>
  <c r="G60"/>
  <c r="F60"/>
  <c r="H59"/>
  <c r="G59"/>
  <c r="F59"/>
  <c r="H58"/>
  <c r="G58"/>
  <c r="F58"/>
  <c r="G54"/>
  <c r="F54"/>
  <c r="H54"/>
  <c r="H53"/>
  <c r="G53"/>
  <c r="F53"/>
  <c r="H50"/>
  <c r="G50"/>
  <c r="F50"/>
  <c r="H49"/>
  <c r="G49"/>
  <c r="F49"/>
  <c r="H48"/>
  <c r="G48"/>
  <c r="F48"/>
  <c r="H67" i="82"/>
  <c r="G67"/>
  <c r="F67"/>
  <c r="H66"/>
  <c r="G66"/>
  <c r="F66"/>
  <c r="H61"/>
  <c r="G61"/>
  <c r="F61"/>
  <c r="H60"/>
  <c r="G60"/>
  <c r="F60"/>
  <c r="H59"/>
  <c r="G59"/>
  <c r="F59"/>
  <c r="H58"/>
  <c r="G58"/>
  <c r="F58"/>
  <c r="H54"/>
  <c r="G54"/>
  <c r="F54"/>
  <c r="H53"/>
  <c r="G53"/>
  <c r="F53"/>
  <c r="H50"/>
  <c r="G50"/>
  <c r="F50"/>
  <c r="H49"/>
  <c r="G49"/>
  <c r="F49"/>
  <c r="H48"/>
  <c r="G48"/>
  <c r="F48"/>
  <c r="H67" i="77"/>
  <c r="G67"/>
  <c r="F67"/>
  <c r="H66"/>
  <c r="G66"/>
  <c r="F66"/>
  <c r="H61"/>
  <c r="G61"/>
  <c r="F61"/>
  <c r="H60"/>
  <c r="G60"/>
  <c r="F60"/>
  <c r="H59"/>
  <c r="G59"/>
  <c r="F59"/>
  <c r="H58"/>
  <c r="G58"/>
  <c r="F58"/>
  <c r="H54"/>
  <c r="G54"/>
  <c r="F54"/>
  <c r="H53"/>
  <c r="G53"/>
  <c r="F53"/>
  <c r="H50"/>
  <c r="G50"/>
  <c r="F50"/>
  <c r="H49"/>
  <c r="G49"/>
  <c r="F49"/>
  <c r="H48"/>
  <c r="G48"/>
  <c r="F48"/>
  <c r="H51" i="85"/>
  <c r="G51"/>
  <c r="F51"/>
  <c r="H52"/>
  <c r="G52"/>
  <c r="F52"/>
  <c r="H55"/>
  <c r="G55"/>
  <c r="F55"/>
  <c r="H56"/>
  <c r="G56"/>
  <c r="F56"/>
  <c r="H57"/>
  <c r="G57"/>
  <c r="F57"/>
  <c r="H62"/>
  <c r="G62"/>
  <c r="F62"/>
  <c r="H63"/>
  <c r="G63"/>
  <c r="F63"/>
  <c r="H64"/>
  <c r="G64"/>
  <c r="F64"/>
  <c r="H65"/>
  <c r="G65"/>
  <c r="F65"/>
  <c r="H51" i="84"/>
  <c r="G51"/>
  <c r="F51"/>
  <c r="H52"/>
  <c r="G52"/>
  <c r="F52"/>
  <c r="H55"/>
  <c r="G55"/>
  <c r="F55"/>
  <c r="H56"/>
  <c r="G56"/>
  <c r="F56"/>
  <c r="H57"/>
  <c r="G57"/>
  <c r="F57"/>
  <c r="H62"/>
  <c r="G62"/>
  <c r="F62"/>
  <c r="H63"/>
  <c r="G63"/>
  <c r="F63"/>
  <c r="H64"/>
  <c r="G64"/>
  <c r="F64"/>
  <c r="H65"/>
  <c r="G65"/>
  <c r="F65"/>
  <c r="H51" i="83"/>
  <c r="G51"/>
  <c r="F51"/>
  <c r="H52"/>
  <c r="G52"/>
  <c r="F52"/>
  <c r="H55"/>
  <c r="G55"/>
  <c r="F55"/>
  <c r="H56"/>
  <c r="G56"/>
  <c r="F56"/>
  <c r="H57"/>
  <c r="G57"/>
  <c r="F57"/>
  <c r="H62"/>
  <c r="G62"/>
  <c r="F62"/>
  <c r="H63"/>
  <c r="G63"/>
  <c r="F63"/>
  <c r="H64"/>
  <c r="G64"/>
  <c r="F64"/>
  <c r="H65"/>
  <c r="G65"/>
  <c r="F65"/>
  <c r="H51" i="82"/>
  <c r="G51"/>
  <c r="F51"/>
  <c r="H52"/>
  <c r="G52"/>
  <c r="F52"/>
  <c r="H55"/>
  <c r="G55"/>
  <c r="F55"/>
  <c r="H56"/>
  <c r="G56"/>
  <c r="F56"/>
  <c r="H57"/>
  <c r="G57"/>
  <c r="F57"/>
  <c r="H62"/>
  <c r="G62"/>
  <c r="F62"/>
  <c r="H63"/>
  <c r="G63"/>
  <c r="F63"/>
  <c r="H64"/>
  <c r="G64"/>
  <c r="F64"/>
  <c r="H65"/>
  <c r="G65"/>
  <c r="F65"/>
  <c r="H51" i="77"/>
  <c r="G51"/>
  <c r="F51"/>
  <c r="H52"/>
  <c r="G52"/>
  <c r="F52"/>
  <c r="H55"/>
  <c r="G55"/>
  <c r="F55"/>
  <c r="H56"/>
  <c r="G56"/>
  <c r="F56"/>
  <c r="H57"/>
  <c r="G57"/>
  <c r="F57"/>
  <c r="H62"/>
  <c r="G62"/>
  <c r="F62"/>
  <c r="H63"/>
  <c r="G63"/>
  <c r="F63"/>
  <c r="H64"/>
  <c r="G64"/>
  <c r="F64"/>
  <c r="H65"/>
  <c r="G65"/>
  <c r="F65"/>
  <c r="F67" i="81"/>
  <c r="G67"/>
  <c r="H67"/>
  <c r="H53"/>
  <c r="G53"/>
  <c r="F53"/>
  <c r="H54"/>
  <c r="G54"/>
  <c r="F54"/>
  <c r="H55"/>
  <c r="G55"/>
  <c r="F55"/>
  <c r="H56"/>
  <c r="G56"/>
  <c r="F56"/>
  <c r="H57"/>
  <c r="G57"/>
  <c r="F57"/>
  <c r="H58"/>
  <c r="G58"/>
  <c r="F58"/>
  <c r="H59"/>
  <c r="G59"/>
  <c r="F59"/>
  <c r="H60"/>
  <c r="G60"/>
  <c r="F60"/>
  <c r="H61"/>
  <c r="G61"/>
  <c r="F61"/>
  <c r="H62"/>
  <c r="G62"/>
  <c r="F62"/>
  <c r="H63"/>
  <c r="G63"/>
  <c r="F63"/>
  <c r="H64"/>
  <c r="G64"/>
  <c r="F64"/>
  <c r="H65"/>
  <c r="G65"/>
  <c r="F65"/>
  <c r="H66"/>
  <c r="G66"/>
  <c r="F66"/>
  <c r="L67"/>
  <c r="L67" i="82"/>
  <c r="L67" i="83"/>
  <c r="L67" i="84"/>
  <c r="L67" i="85"/>
  <c r="L67" i="77"/>
  <c r="I67" i="81"/>
  <c r="I67" i="82"/>
  <c r="I67" i="83"/>
  <c r="I67" i="84"/>
  <c r="I67" i="85"/>
  <c r="I67" i="77"/>
  <c r="L48" i="81"/>
  <c r="L49"/>
  <c r="L50"/>
  <c r="L51"/>
  <c r="L52"/>
  <c r="L53"/>
  <c r="L54"/>
  <c r="L55"/>
  <c r="L56"/>
  <c r="L57"/>
  <c r="L58"/>
  <c r="L59"/>
  <c r="L60"/>
  <c r="L61"/>
  <c r="L62"/>
  <c r="L63"/>
  <c r="L64"/>
  <c r="L65"/>
  <c r="L66"/>
  <c r="L48" i="82"/>
  <c r="L49"/>
  <c r="L50"/>
  <c r="L51"/>
  <c r="L52"/>
  <c r="L53"/>
  <c r="L54"/>
  <c r="L55"/>
  <c r="L56"/>
  <c r="L57"/>
  <c r="L58"/>
  <c r="L59"/>
  <c r="L60"/>
  <c r="L61"/>
  <c r="L62"/>
  <c r="L63"/>
  <c r="L64"/>
  <c r="L65"/>
  <c r="L66"/>
  <c r="L48" i="83"/>
  <c r="L49"/>
  <c r="L50"/>
  <c r="L51"/>
  <c r="L52"/>
  <c r="L53"/>
  <c r="L54"/>
  <c r="L55"/>
  <c r="L56"/>
  <c r="L57"/>
  <c r="L58"/>
  <c r="L59"/>
  <c r="L60"/>
  <c r="L61"/>
  <c r="L62"/>
  <c r="L63"/>
  <c r="L64"/>
  <c r="L65"/>
  <c r="L66"/>
  <c r="L48" i="84"/>
  <c r="L49"/>
  <c r="L50"/>
  <c r="L51"/>
  <c r="L52"/>
  <c r="L53"/>
  <c r="L54"/>
  <c r="L55"/>
  <c r="L56"/>
  <c r="L57"/>
  <c r="L58"/>
  <c r="L59"/>
  <c r="L60"/>
  <c r="L61"/>
  <c r="L62"/>
  <c r="L63"/>
  <c r="L64"/>
  <c r="L65"/>
  <c r="L66"/>
  <c r="L48" i="85"/>
  <c r="L49"/>
  <c r="L50"/>
  <c r="L51"/>
  <c r="L52"/>
  <c r="L53"/>
  <c r="L54"/>
  <c r="L55"/>
  <c r="L56"/>
  <c r="L57"/>
  <c r="L58"/>
  <c r="L59"/>
  <c r="L60"/>
  <c r="L61"/>
  <c r="L62"/>
  <c r="L63"/>
  <c r="L64"/>
  <c r="L65"/>
  <c r="L66"/>
  <c r="L48" i="77"/>
  <c r="L49"/>
  <c r="L50"/>
  <c r="L51"/>
  <c r="L52"/>
  <c r="L53"/>
  <c r="L54"/>
  <c r="L55"/>
  <c r="L56"/>
  <c r="L57"/>
  <c r="L58"/>
  <c r="L59"/>
  <c r="L60"/>
  <c r="L61"/>
  <c r="L62"/>
  <c r="L63"/>
  <c r="L64"/>
  <c r="L65"/>
  <c r="L66"/>
  <c r="I48" i="81"/>
  <c r="I49"/>
  <c r="I50"/>
  <c r="I51"/>
  <c r="I52"/>
  <c r="I53"/>
  <c r="I54"/>
  <c r="I55"/>
  <c r="I56"/>
  <c r="I57"/>
  <c r="I58"/>
  <c r="I59"/>
  <c r="I60"/>
  <c r="I61"/>
  <c r="I62"/>
  <c r="I63"/>
  <c r="I64"/>
  <c r="I65"/>
  <c r="I66"/>
  <c r="I48" i="82"/>
  <c r="I49"/>
  <c r="I50"/>
  <c r="I51"/>
  <c r="I52"/>
  <c r="I53"/>
  <c r="I54"/>
  <c r="I55"/>
  <c r="I56"/>
  <c r="I57"/>
  <c r="I58"/>
  <c r="I59"/>
  <c r="I60"/>
  <c r="I61"/>
  <c r="I62"/>
  <c r="I63"/>
  <c r="I64"/>
  <c r="I65"/>
  <c r="I66"/>
  <c r="I48" i="83"/>
  <c r="I49"/>
  <c r="I50"/>
  <c r="I51"/>
  <c r="I52"/>
  <c r="I53"/>
  <c r="I54"/>
  <c r="I55"/>
  <c r="I56"/>
  <c r="I57"/>
  <c r="I58"/>
  <c r="I59"/>
  <c r="I60"/>
  <c r="I61"/>
  <c r="I62"/>
  <c r="I63"/>
  <c r="I64"/>
  <c r="I65"/>
  <c r="I66"/>
  <c r="I48" i="84"/>
  <c r="I49"/>
  <c r="I50"/>
  <c r="I51"/>
  <c r="I52"/>
  <c r="I53"/>
  <c r="I54"/>
  <c r="I55"/>
  <c r="I56"/>
  <c r="I57"/>
  <c r="I58"/>
  <c r="I59"/>
  <c r="I60"/>
  <c r="I61"/>
  <c r="I62"/>
  <c r="I63"/>
  <c r="I64"/>
  <c r="I65"/>
  <c r="I66"/>
  <c r="I48" i="85"/>
  <c r="I49"/>
  <c r="I50"/>
  <c r="I51"/>
  <c r="I52"/>
  <c r="I53"/>
  <c r="I54"/>
  <c r="I55"/>
  <c r="I56"/>
  <c r="I57"/>
  <c r="I58"/>
  <c r="I59"/>
  <c r="I60"/>
  <c r="I61"/>
  <c r="I62"/>
  <c r="I63"/>
  <c r="I64"/>
  <c r="I65"/>
  <c r="I66"/>
  <c r="I48" i="77"/>
  <c r="I49"/>
  <c r="I50"/>
  <c r="I51"/>
  <c r="I52"/>
  <c r="I53"/>
  <c r="I54"/>
  <c r="I55"/>
  <c r="I56"/>
  <c r="I57"/>
  <c r="I58"/>
  <c r="I59"/>
  <c r="I60"/>
  <c r="I61"/>
  <c r="I62"/>
  <c r="I63"/>
  <c r="I64"/>
  <c r="I65"/>
  <c r="I66"/>
  <c r="E1" i="97"/>
  <c r="E2"/>
  <c r="E3"/>
  <c r="E37" s="1"/>
  <c r="E4"/>
  <c r="E5"/>
  <c r="J39"/>
  <c r="K39"/>
  <c r="L39"/>
  <c r="E1" i="96"/>
  <c r="E2"/>
  <c r="E3"/>
  <c r="E36" s="1"/>
  <c r="E4"/>
  <c r="E5"/>
  <c r="E37"/>
  <c r="J39"/>
  <c r="K39"/>
  <c r="L39"/>
  <c r="E1" i="95"/>
  <c r="E2"/>
  <c r="E3"/>
  <c r="G27" s="1"/>
  <c r="E4"/>
  <c r="E5"/>
  <c r="J39"/>
  <c r="E1" i="94"/>
  <c r="E2"/>
  <c r="E3"/>
  <c r="E36" s="1"/>
  <c r="E4"/>
  <c r="E5"/>
  <c r="K39"/>
  <c r="E1" i="93"/>
  <c r="E2"/>
  <c r="E3"/>
  <c r="E34" s="1"/>
  <c r="E4"/>
  <c r="E5"/>
  <c r="J39"/>
  <c r="K39"/>
  <c r="L39"/>
  <c r="E1" i="92"/>
  <c r="E2"/>
  <c r="E3"/>
  <c r="E34" s="1"/>
  <c r="E4"/>
  <c r="E5"/>
  <c r="J39"/>
  <c r="K39"/>
  <c r="L39"/>
  <c r="E1" i="91"/>
  <c r="E2"/>
  <c r="E3"/>
  <c r="G27" s="1"/>
  <c r="E4"/>
  <c r="E5"/>
  <c r="J39"/>
  <c r="K39"/>
  <c r="L39"/>
  <c r="E1" i="90"/>
  <c r="E2"/>
  <c r="E3"/>
  <c r="G27" s="1"/>
  <c r="E4"/>
  <c r="E5"/>
  <c r="J39"/>
  <c r="K39"/>
  <c r="L39"/>
  <c r="H50" i="81"/>
  <c r="G50"/>
  <c r="F50"/>
  <c r="E1" i="88"/>
  <c r="E2"/>
  <c r="E3"/>
  <c r="E36" s="1"/>
  <c r="E4"/>
  <c r="E5"/>
  <c r="G27"/>
  <c r="E37"/>
  <c r="J39"/>
  <c r="K39"/>
  <c r="L39"/>
  <c r="H49" i="81"/>
  <c r="G49"/>
  <c r="F49"/>
  <c r="E1" i="87"/>
  <c r="E2"/>
  <c r="E3"/>
  <c r="E36" s="1"/>
  <c r="E4"/>
  <c r="E5"/>
  <c r="J39"/>
  <c r="K39"/>
  <c r="L39"/>
  <c r="F48" i="81"/>
  <c r="G48"/>
  <c r="H48"/>
  <c r="E1" i="86"/>
  <c r="E2"/>
  <c r="E3"/>
  <c r="E34" s="1"/>
  <c r="E4"/>
  <c r="E5"/>
  <c r="J39"/>
  <c r="K39"/>
  <c r="L39"/>
  <c r="D38" i="71"/>
  <c r="D36"/>
  <c r="D38" i="58"/>
  <c r="D37"/>
  <c r="D36"/>
  <c r="D37" i="32"/>
  <c r="D36"/>
  <c r="D38" i="51"/>
  <c r="D36"/>
  <c r="D38" i="61"/>
  <c r="D37"/>
  <c r="D36"/>
  <c r="D38" i="62"/>
  <c r="D37"/>
  <c r="D36"/>
  <c r="D38" i="73"/>
  <c r="D37"/>
  <c r="D36"/>
  <c r="D37" i="33"/>
  <c r="D38" i="53"/>
  <c r="D37"/>
  <c r="D36"/>
  <c r="D37" i="49"/>
  <c r="D36"/>
  <c r="D38" i="64"/>
  <c r="D37"/>
  <c r="D36"/>
  <c r="K39"/>
  <c r="D38" i="63"/>
  <c r="D37"/>
  <c r="D36"/>
  <c r="K39"/>
  <c r="D38" i="57"/>
  <c r="D36"/>
  <c r="D37"/>
  <c r="D38" i="72"/>
  <c r="D36"/>
  <c r="D37"/>
  <c r="K39"/>
  <c r="D37" i="74"/>
  <c r="D38"/>
  <c r="D36" i="28"/>
  <c r="D37"/>
  <c r="L39"/>
  <c r="D38" i="60"/>
  <c r="D37"/>
  <c r="D36"/>
  <c r="D38" i="70"/>
  <c r="D36"/>
  <c r="K39"/>
  <c r="D38" i="55"/>
  <c r="D37"/>
  <c r="D36"/>
  <c r="D38" i="66"/>
  <c r="D37"/>
  <c r="D36"/>
  <c r="D38" i="54"/>
  <c r="D36"/>
  <c r="D36" i="34"/>
  <c r="D37"/>
  <c r="D38"/>
  <c r="L36"/>
  <c r="D39"/>
  <c r="D34" s="1"/>
  <c r="D37" i="48"/>
  <c r="D38" i="52"/>
  <c r="D37"/>
  <c r="D36"/>
  <c r="K39"/>
  <c r="D38" i="47"/>
  <c r="D36"/>
  <c r="L36" i="72"/>
  <c r="M23" i="46"/>
  <c r="L23"/>
  <c r="F23"/>
  <c r="E23"/>
  <c r="M22"/>
  <c r="L22"/>
  <c r="F22"/>
  <c r="E22"/>
  <c r="M21"/>
  <c r="L21"/>
  <c r="F21"/>
  <c r="E21"/>
  <c r="M20"/>
  <c r="L20"/>
  <c r="F20"/>
  <c r="E20"/>
  <c r="M23" i="45"/>
  <c r="L23"/>
  <c r="F23"/>
  <c r="E23"/>
  <c r="M22"/>
  <c r="L22"/>
  <c r="F22"/>
  <c r="E22"/>
  <c r="M21"/>
  <c r="L21"/>
  <c r="F21"/>
  <c r="E21"/>
  <c r="M20"/>
  <c r="L20"/>
  <c r="F20"/>
  <c r="E20"/>
  <c r="M23" i="44"/>
  <c r="L23"/>
  <c r="F23"/>
  <c r="E23"/>
  <c r="M22"/>
  <c r="L22"/>
  <c r="F22"/>
  <c r="E22"/>
  <c r="M21"/>
  <c r="L21"/>
  <c r="F21"/>
  <c r="E21"/>
  <c r="M20"/>
  <c r="L20"/>
  <c r="F20"/>
  <c r="E20"/>
  <c r="M23" i="37"/>
  <c r="L23"/>
  <c r="F23"/>
  <c r="E23"/>
  <c r="M22"/>
  <c r="L22"/>
  <c r="F22"/>
  <c r="E22"/>
  <c r="M21"/>
  <c r="L21"/>
  <c r="F21"/>
  <c r="E21"/>
  <c r="M20"/>
  <c r="L20"/>
  <c r="F20"/>
  <c r="E20"/>
  <c r="M23" i="36"/>
  <c r="L23"/>
  <c r="F23"/>
  <c r="E23"/>
  <c r="M22"/>
  <c r="L22"/>
  <c r="F22"/>
  <c r="E22"/>
  <c r="M21"/>
  <c r="L21"/>
  <c r="F21"/>
  <c r="E21"/>
  <c r="M20"/>
  <c r="L20"/>
  <c r="F20"/>
  <c r="E20"/>
  <c r="M23" i="35"/>
  <c r="L23"/>
  <c r="F23"/>
  <c r="E23"/>
  <c r="M22"/>
  <c r="L22"/>
  <c r="F22"/>
  <c r="E22"/>
  <c r="M21"/>
  <c r="L21"/>
  <c r="F21"/>
  <c r="E21"/>
  <c r="M20"/>
  <c r="L20"/>
  <c r="F20"/>
  <c r="E20"/>
  <c r="M23" i="43"/>
  <c r="L23"/>
  <c r="F23"/>
  <c r="E23"/>
  <c r="M22"/>
  <c r="L22"/>
  <c r="F22"/>
  <c r="E22"/>
  <c r="M21"/>
  <c r="L21"/>
  <c r="F21"/>
  <c r="E21"/>
  <c r="M20"/>
  <c r="L20"/>
  <c r="F20"/>
  <c r="E20"/>
  <c r="M23" i="42"/>
  <c r="L23"/>
  <c r="F23"/>
  <c r="E23"/>
  <c r="M22"/>
  <c r="L22"/>
  <c r="F22"/>
  <c r="E22"/>
  <c r="M21"/>
  <c r="L21"/>
  <c r="F21"/>
  <c r="E21"/>
  <c r="M20"/>
  <c r="L20"/>
  <c r="F20"/>
  <c r="E20"/>
  <c r="M23" i="41"/>
  <c r="L23"/>
  <c r="M22"/>
  <c r="L22"/>
  <c r="M21"/>
  <c r="L21"/>
  <c r="M20"/>
  <c r="L20"/>
  <c r="F23"/>
  <c r="E23"/>
  <c r="F22"/>
  <c r="E22"/>
  <c r="F21"/>
  <c r="E21"/>
  <c r="F20"/>
  <c r="E20"/>
  <c r="D39" i="63"/>
  <c r="D34" s="1"/>
  <c r="D39" i="64"/>
  <c r="D39" i="47"/>
  <c r="L36"/>
  <c r="D37"/>
  <c r="D39" i="50"/>
  <c r="D38"/>
  <c r="D36"/>
  <c r="D37"/>
  <c r="D39" i="49"/>
  <c r="D34" s="1"/>
  <c r="D38"/>
  <c r="L36"/>
  <c r="L37"/>
  <c r="D39" i="51"/>
  <c r="D34" s="1"/>
  <c r="D37"/>
  <c r="D39" i="52"/>
  <c r="L36"/>
  <c r="L37"/>
  <c r="D39" i="65"/>
  <c r="D38"/>
  <c r="L36"/>
  <c r="D36" s="1"/>
  <c r="D34" s="1"/>
  <c r="L37"/>
  <c r="D37"/>
  <c r="D39" i="48"/>
  <c r="D39" i="53"/>
  <c r="D39" i="54"/>
  <c r="L36"/>
  <c r="L37"/>
  <c r="D37" s="1"/>
  <c r="D34" s="1"/>
  <c r="D39" i="33"/>
  <c r="D38"/>
  <c r="L36"/>
  <c r="D36" s="1"/>
  <c r="D34" s="1"/>
  <c r="L37"/>
  <c r="D39" i="66"/>
  <c r="D34" s="1"/>
  <c r="M36"/>
  <c r="M37"/>
  <c r="D39" i="67"/>
  <c r="D38"/>
  <c r="M36"/>
  <c r="D36" s="1"/>
  <c r="D34" s="1"/>
  <c r="M37"/>
  <c r="D37"/>
  <c r="D39" i="55"/>
  <c r="L38"/>
  <c r="L36"/>
  <c r="L37"/>
  <c r="D39" i="68"/>
  <c r="D38"/>
  <c r="L36"/>
  <c r="D36"/>
  <c r="L37"/>
  <c r="D37"/>
  <c r="D39" i="69"/>
  <c r="D38"/>
  <c r="L36"/>
  <c r="D36" s="1"/>
  <c r="D34" s="1"/>
  <c r="L37"/>
  <c r="D37"/>
  <c r="D39" i="56"/>
  <c r="L36"/>
  <c r="D36" s="1"/>
  <c r="L37"/>
  <c r="D37" s="1"/>
  <c r="D39" i="59"/>
  <c r="L38"/>
  <c r="D38" s="1"/>
  <c r="D34" s="1"/>
  <c r="L36"/>
  <c r="D36" s="1"/>
  <c r="L37"/>
  <c r="D37" s="1"/>
  <c r="D39" i="70"/>
  <c r="D37"/>
  <c r="D39" i="60"/>
  <c r="L36"/>
  <c r="L37"/>
  <c r="D39" i="32"/>
  <c r="L36"/>
  <c r="L37"/>
  <c r="D39" i="58"/>
  <c r="L36"/>
  <c r="L37"/>
  <c r="D39" i="71"/>
  <c r="L38"/>
  <c r="L36"/>
  <c r="L37"/>
  <c r="D37" s="1"/>
  <c r="D34" s="1"/>
  <c r="D39" i="57"/>
  <c r="L36"/>
  <c r="L37"/>
  <c r="D39" i="72"/>
  <c r="D39" i="61"/>
  <c r="L36"/>
  <c r="L37"/>
  <c r="D39" i="73"/>
  <c r="L36"/>
  <c r="L37"/>
  <c r="D39" i="62"/>
  <c r="D34" s="1"/>
  <c r="L36"/>
  <c r="L37"/>
  <c r="D39" i="74"/>
  <c r="D34"/>
  <c r="D36"/>
  <c r="L37"/>
  <c r="D39" i="75"/>
  <c r="M36"/>
  <c r="D36" s="1"/>
  <c r="D34" s="1"/>
  <c r="M37"/>
  <c r="D37" s="1"/>
  <c r="D39" i="79"/>
  <c r="D38"/>
  <c r="L36"/>
  <c r="D36" s="1"/>
  <c r="D34" s="1"/>
  <c r="L37"/>
  <c r="D37" s="1"/>
  <c r="D39" i="28"/>
  <c r="D38"/>
  <c r="D39" i="78"/>
  <c r="D34" s="1"/>
  <c r="D38"/>
  <c r="D36"/>
  <c r="D37"/>
  <c r="D39" i="41"/>
  <c r="D38"/>
  <c r="D36"/>
  <c r="D37"/>
  <c r="D39" i="42"/>
  <c r="D34" s="1"/>
  <c r="D38"/>
  <c r="D36"/>
  <c r="D37"/>
  <c r="D39" i="43"/>
  <c r="D38"/>
  <c r="D36"/>
  <c r="D37"/>
  <c r="D39" i="35"/>
  <c r="D38"/>
  <c r="L36"/>
  <c r="D36" s="1"/>
  <c r="D34" s="1"/>
  <c r="L37"/>
  <c r="D37" s="1"/>
  <c r="D39" i="36"/>
  <c r="D38"/>
  <c r="L36"/>
  <c r="D36" s="1"/>
  <c r="D34" s="1"/>
  <c r="L37"/>
  <c r="D37" s="1"/>
  <c r="D39" i="37"/>
  <c r="D38"/>
  <c r="L36"/>
  <c r="D36" s="1"/>
  <c r="D34" s="1"/>
  <c r="L37"/>
  <c r="D37" s="1"/>
  <c r="D39" i="44"/>
  <c r="D38"/>
  <c r="D36"/>
  <c r="D37"/>
  <c r="D39" i="45"/>
  <c r="D38"/>
  <c r="D36"/>
  <c r="D37"/>
  <c r="D39" i="46"/>
  <c r="D38"/>
  <c r="D36"/>
  <c r="D37"/>
  <c r="F23" i="63"/>
  <c r="F23" i="64"/>
  <c r="F23" i="50"/>
  <c r="F23" i="48"/>
  <c r="F23" i="53"/>
  <c r="F23" i="54"/>
  <c r="F23" i="56"/>
  <c r="F23" i="70"/>
  <c r="F23" i="57"/>
  <c r="F23" i="72"/>
  <c r="F23" i="74"/>
  <c r="F23" i="79"/>
  <c r="F23" i="78"/>
  <c r="F23" i="25"/>
  <c r="F22" i="63"/>
  <c r="F22" i="64"/>
  <c r="F22" i="50"/>
  <c r="F22" i="53"/>
  <c r="F22" i="54"/>
  <c r="F22" i="56"/>
  <c r="F22" i="70"/>
  <c r="F22" i="57"/>
  <c r="F22" i="72"/>
  <c r="F22" i="74"/>
  <c r="F22" i="79"/>
  <c r="F22" i="78"/>
  <c r="F22" i="25"/>
  <c r="F21" i="63"/>
  <c r="F21" i="64"/>
  <c r="F21" i="50"/>
  <c r="F21" i="53"/>
  <c r="F21" i="54"/>
  <c r="F21" i="56"/>
  <c r="F21" i="70"/>
  <c r="F21" i="57"/>
  <c r="F21" i="72"/>
  <c r="F21" i="74"/>
  <c r="F21" i="79"/>
  <c r="F21" i="78"/>
  <c r="F21" i="25"/>
  <c r="F20" i="63"/>
  <c r="F20" i="64"/>
  <c r="F20" i="50"/>
  <c r="F20" i="53"/>
  <c r="F20" i="54"/>
  <c r="F20" i="56"/>
  <c r="F20" i="70"/>
  <c r="F20" i="57"/>
  <c r="F20" i="72"/>
  <c r="F20" i="74"/>
  <c r="F20" i="79"/>
  <c r="F20" i="78"/>
  <c r="F20" i="25"/>
  <c r="E23" i="63"/>
  <c r="E23" i="64"/>
  <c r="E23" i="53"/>
  <c r="E23" i="56"/>
  <c r="E23" i="70"/>
  <c r="E23" i="57"/>
  <c r="E23" i="72"/>
  <c r="E23" i="74"/>
  <c r="E22" i="63"/>
  <c r="E22" i="64"/>
  <c r="E22" i="53"/>
  <c r="E22" i="56"/>
  <c r="E22" i="70"/>
  <c r="E22" i="57"/>
  <c r="E22" i="72"/>
  <c r="E22" i="74"/>
  <c r="E21" i="63"/>
  <c r="E21" i="64"/>
  <c r="E21" i="53"/>
  <c r="E21" i="56"/>
  <c r="E21" i="70"/>
  <c r="E21" i="57"/>
  <c r="E21" i="72"/>
  <c r="E21" i="74"/>
  <c r="E20" i="63"/>
  <c r="E20" i="64"/>
  <c r="E20" i="53"/>
  <c r="E20" i="56"/>
  <c r="E20" i="70"/>
  <c r="E20" i="57"/>
  <c r="E20" i="72"/>
  <c r="E20" i="74"/>
  <c r="D23" i="63"/>
  <c r="D23" i="64"/>
  <c r="D23" i="54"/>
  <c r="D23" i="55"/>
  <c r="D23" i="70"/>
  <c r="D23" i="72"/>
  <c r="D22" i="63"/>
  <c r="D22" i="64"/>
  <c r="D22" i="54"/>
  <c r="D22" i="55"/>
  <c r="D22" i="70"/>
  <c r="D22" i="72"/>
  <c r="D21" i="63"/>
  <c r="D21" i="64"/>
  <c r="D21" i="54"/>
  <c r="D21" i="55"/>
  <c r="D21" i="70"/>
  <c r="D21" i="72"/>
  <c r="D20" i="63"/>
  <c r="D20" i="64"/>
  <c r="D20" i="54"/>
  <c r="D20" i="55"/>
  <c r="D20" i="70"/>
  <c r="D20" i="72"/>
  <c r="E3" i="16"/>
  <c r="E3" i="18"/>
  <c r="G27" s="1"/>
  <c r="E3" i="21"/>
  <c r="E3" i="25"/>
  <c r="G27" s="1"/>
  <c r="E3" i="23"/>
  <c r="E3" i="22"/>
  <c r="G27" s="1"/>
  <c r="L39" i="35"/>
  <c r="G47" i="7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G3"/>
  <c r="G47" i="83"/>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G3"/>
  <c r="G47" i="85"/>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G3"/>
  <c r="G47" i="84"/>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G3"/>
  <c r="G47" i="82"/>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G3"/>
  <c r="G52" i="81"/>
  <c r="G51"/>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G3"/>
  <c r="F37" i="82"/>
  <c r="H37"/>
  <c r="F37" i="83"/>
  <c r="H37"/>
  <c r="F37" i="81"/>
  <c r="H37"/>
  <c r="F36" i="77"/>
  <c r="F37"/>
  <c r="H37"/>
  <c r="J39" i="78"/>
  <c r="E3"/>
  <c r="G27" s="1"/>
  <c r="F32" i="85"/>
  <c r="H32"/>
  <c r="F33"/>
  <c r="H33"/>
  <c r="F34"/>
  <c r="H34"/>
  <c r="F35"/>
  <c r="H35"/>
  <c r="F36"/>
  <c r="H36"/>
  <c r="F33" i="84"/>
  <c r="H33"/>
  <c r="F34"/>
  <c r="H34"/>
  <c r="F35"/>
  <c r="H35"/>
  <c r="F32" i="83"/>
  <c r="H32"/>
  <c r="F33"/>
  <c r="H33"/>
  <c r="F34"/>
  <c r="H34"/>
  <c r="F35"/>
  <c r="H35"/>
  <c r="F36"/>
  <c r="H36"/>
  <c r="F32" i="82"/>
  <c r="H32"/>
  <c r="F33"/>
  <c r="H33"/>
  <c r="F34"/>
  <c r="H34"/>
  <c r="F35"/>
  <c r="H35"/>
  <c r="F36"/>
  <c r="H36"/>
  <c r="H36" i="77"/>
  <c r="F35" i="81"/>
  <c r="H35"/>
  <c r="E5" i="64"/>
  <c r="E5" i="47"/>
  <c r="E5" i="50"/>
  <c r="E5" i="49"/>
  <c r="E5" i="51"/>
  <c r="E5" i="52"/>
  <c r="E5" i="65"/>
  <c r="E5" i="48"/>
  <c r="E5" i="53"/>
  <c r="E5" i="34"/>
  <c r="E5" i="54"/>
  <c r="E5" i="33"/>
  <c r="E5" i="66"/>
  <c r="E5" i="67"/>
  <c r="E5" i="55"/>
  <c r="E5" i="68"/>
  <c r="E5" i="69"/>
  <c r="E5" i="56"/>
  <c r="E5" i="59"/>
  <c r="E5" i="70"/>
  <c r="E5" i="60"/>
  <c r="E5" i="32"/>
  <c r="E5" i="58"/>
  <c r="E5" i="71"/>
  <c r="E5" i="57"/>
  <c r="E5" i="72"/>
  <c r="E5" i="61"/>
  <c r="E5" i="73"/>
  <c r="E5" i="62"/>
  <c r="E5" i="74"/>
  <c r="E5" i="75"/>
  <c r="E5" i="79"/>
  <c r="E5" i="28"/>
  <c r="E5" i="78"/>
  <c r="E5" i="41"/>
  <c r="E5" i="42"/>
  <c r="E5" i="43"/>
  <c r="E5" i="35"/>
  <c r="E5" i="36"/>
  <c r="E5" i="37"/>
  <c r="E5" i="44"/>
  <c r="E5" i="45"/>
  <c r="E5" i="46"/>
  <c r="E5" i="9"/>
  <c r="E5" i="13"/>
  <c r="E5" i="14"/>
  <c r="E5" i="6"/>
  <c r="E5" i="16"/>
  <c r="E5" i="18"/>
  <c r="E5" i="21"/>
  <c r="E5" i="25"/>
  <c r="E5" i="23"/>
  <c r="E5" i="22"/>
  <c r="E5" i="63"/>
  <c r="E4" i="64"/>
  <c r="E4" i="47"/>
  <c r="E4" i="50"/>
  <c r="E4" i="49"/>
  <c r="E4" i="51"/>
  <c r="E4" i="52"/>
  <c r="E4" i="65"/>
  <c r="E4" i="48"/>
  <c r="E4" i="53"/>
  <c r="E4" i="34"/>
  <c r="E4" i="54"/>
  <c r="E4" i="33"/>
  <c r="E4" i="66"/>
  <c r="E4" i="67"/>
  <c r="E4" i="55"/>
  <c r="E4" i="68"/>
  <c r="E4" i="69"/>
  <c r="E4" i="56"/>
  <c r="E4" i="59"/>
  <c r="E4" i="70"/>
  <c r="E4" i="60"/>
  <c r="E4" i="32"/>
  <c r="E4" i="58"/>
  <c r="E4" i="71"/>
  <c r="E4" i="57"/>
  <c r="E4" i="72"/>
  <c r="E4" i="61"/>
  <c r="E4" i="73"/>
  <c r="E4" i="62"/>
  <c r="E4" i="74"/>
  <c r="E4" i="75"/>
  <c r="E4" i="79"/>
  <c r="E4" i="28"/>
  <c r="E4" i="78"/>
  <c r="E4" i="41"/>
  <c r="E4" i="42"/>
  <c r="E4" i="43"/>
  <c r="E4" i="35"/>
  <c r="E4" i="36"/>
  <c r="E4" i="37"/>
  <c r="E4" i="44"/>
  <c r="E4" i="45"/>
  <c r="E4" i="46"/>
  <c r="E4" i="9"/>
  <c r="E4" i="13"/>
  <c r="E4" i="14"/>
  <c r="E4" i="6"/>
  <c r="E4" i="16"/>
  <c r="E4" i="18"/>
  <c r="E4" i="21"/>
  <c r="E4" i="25"/>
  <c r="E4" i="23"/>
  <c r="E4" i="22"/>
  <c r="E4" i="63"/>
  <c r="E3" i="32"/>
  <c r="L39" i="22"/>
  <c r="L39" i="23"/>
  <c r="J39" i="22"/>
  <c r="J39" i="23"/>
  <c r="J39" i="25"/>
  <c r="L39" i="21"/>
  <c r="J39"/>
  <c r="L39" i="18"/>
  <c r="L39" i="6"/>
  <c r="J39" i="18"/>
  <c r="J39" i="6"/>
  <c r="L39" i="14"/>
  <c r="K39"/>
  <c r="J39"/>
  <c r="L39" i="13"/>
  <c r="J39"/>
  <c r="J39" i="46"/>
  <c r="J39" i="45"/>
  <c r="J39" i="44"/>
  <c r="L39" i="37"/>
  <c r="K39"/>
  <c r="J39"/>
  <c r="K39" i="35"/>
  <c r="J39"/>
  <c r="L39" i="36"/>
  <c r="K39"/>
  <c r="J39"/>
  <c r="J39" i="43"/>
  <c r="J39" i="42"/>
  <c r="J39" i="41"/>
  <c r="M39" i="75"/>
  <c r="L39" i="79"/>
  <c r="K39"/>
  <c r="J39"/>
  <c r="L39" i="49"/>
  <c r="J39"/>
  <c r="K39"/>
  <c r="L39" i="57"/>
  <c r="M39" i="67"/>
  <c r="L39" i="55"/>
  <c r="K39" i="68"/>
  <c r="J39"/>
  <c r="L39"/>
  <c r="H35" i="77"/>
  <c r="F35"/>
  <c r="L34" i="82"/>
  <c r="I34"/>
  <c r="F36" i="84"/>
  <c r="H36"/>
  <c r="F37"/>
  <c r="H37"/>
  <c r="F37" i="85"/>
  <c r="H37"/>
  <c r="K39" i="50"/>
  <c r="L39" i="47"/>
  <c r="L39" i="75"/>
  <c r="K39" i="67"/>
  <c r="L39"/>
  <c r="K39" i="66"/>
  <c r="J39"/>
  <c r="M39" s="1"/>
  <c r="L39"/>
  <c r="J39" i="63"/>
  <c r="E1" i="28"/>
  <c r="K39" i="47"/>
  <c r="J39"/>
  <c r="J39" i="64"/>
  <c r="E3"/>
  <c r="I47" i="85"/>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3"/>
  <c r="I47" i="84"/>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3"/>
  <c r="H47"/>
  <c r="F47"/>
  <c r="H46"/>
  <c r="F46"/>
  <c r="H45"/>
  <c r="F45"/>
  <c r="H44"/>
  <c r="F44"/>
  <c r="H43"/>
  <c r="F43"/>
  <c r="H42"/>
  <c r="F42"/>
  <c r="H41"/>
  <c r="F41"/>
  <c r="H40"/>
  <c r="F40"/>
  <c r="H39"/>
  <c r="F39"/>
  <c r="H38"/>
  <c r="F38"/>
  <c r="H32"/>
  <c r="F32"/>
  <c r="H31"/>
  <c r="F31"/>
  <c r="H30"/>
  <c r="F30"/>
  <c r="H29"/>
  <c r="F29"/>
  <c r="H28"/>
  <c r="F28"/>
  <c r="H27"/>
  <c r="F27"/>
  <c r="H26"/>
  <c r="F26"/>
  <c r="H25"/>
  <c r="F25"/>
  <c r="H24"/>
  <c r="F24"/>
  <c r="H23"/>
  <c r="F23"/>
  <c r="H22"/>
  <c r="F22"/>
  <c r="H21"/>
  <c r="F21"/>
  <c r="H20"/>
  <c r="F20"/>
  <c r="H19"/>
  <c r="F19"/>
  <c r="H18"/>
  <c r="F18"/>
  <c r="H17"/>
  <c r="F17"/>
  <c r="H16"/>
  <c r="F16"/>
  <c r="H15"/>
  <c r="F15"/>
  <c r="H14"/>
  <c r="F14"/>
  <c r="H13"/>
  <c r="F13"/>
  <c r="H12"/>
  <c r="F12"/>
  <c r="H11"/>
  <c r="F11"/>
  <c r="H10"/>
  <c r="F10"/>
  <c r="H9"/>
  <c r="F9"/>
  <c r="H8"/>
  <c r="F8"/>
  <c r="H7"/>
  <c r="F7"/>
  <c r="H6"/>
  <c r="F6"/>
  <c r="H5"/>
  <c r="F5"/>
  <c r="H4"/>
  <c r="F4"/>
  <c r="H3"/>
  <c r="F3"/>
  <c r="H47" i="85"/>
  <c r="F47"/>
  <c r="H46"/>
  <c r="F46"/>
  <c r="H45"/>
  <c r="F45"/>
  <c r="H44"/>
  <c r="F44"/>
  <c r="H43"/>
  <c r="F43"/>
  <c r="H42"/>
  <c r="F42"/>
  <c r="H41"/>
  <c r="F41"/>
  <c r="H40"/>
  <c r="F40"/>
  <c r="H39"/>
  <c r="F39"/>
  <c r="H38"/>
  <c r="F38"/>
  <c r="H31"/>
  <c r="F31"/>
  <c r="H30"/>
  <c r="F30"/>
  <c r="H29"/>
  <c r="F29"/>
  <c r="H28"/>
  <c r="F28"/>
  <c r="H27"/>
  <c r="F27"/>
  <c r="H26"/>
  <c r="F26"/>
  <c r="H25"/>
  <c r="F25"/>
  <c r="H24"/>
  <c r="F24"/>
  <c r="H23"/>
  <c r="F23"/>
  <c r="H22"/>
  <c r="F22"/>
  <c r="H21"/>
  <c r="F21"/>
  <c r="H20"/>
  <c r="F20"/>
  <c r="H19"/>
  <c r="F19"/>
  <c r="H18"/>
  <c r="F18"/>
  <c r="H17"/>
  <c r="F17"/>
  <c r="H16"/>
  <c r="F16"/>
  <c r="H15"/>
  <c r="F15"/>
  <c r="H14"/>
  <c r="F14"/>
  <c r="H13"/>
  <c r="F13"/>
  <c r="H12"/>
  <c r="F12"/>
  <c r="H11"/>
  <c r="F11"/>
  <c r="H10"/>
  <c r="F10"/>
  <c r="H9"/>
  <c r="F9"/>
  <c r="H8"/>
  <c r="F8"/>
  <c r="H7"/>
  <c r="F7"/>
  <c r="H6"/>
  <c r="F6"/>
  <c r="H5"/>
  <c r="F5"/>
  <c r="H4"/>
  <c r="F4"/>
  <c r="H3"/>
  <c r="F3"/>
  <c r="H47" i="83"/>
  <c r="F47"/>
  <c r="H46"/>
  <c r="F46"/>
  <c r="H45"/>
  <c r="F45"/>
  <c r="H44"/>
  <c r="F44"/>
  <c r="H43"/>
  <c r="F43"/>
  <c r="H42"/>
  <c r="F42"/>
  <c r="H41"/>
  <c r="F41"/>
  <c r="H40"/>
  <c r="F40"/>
  <c r="H39"/>
  <c r="F39"/>
  <c r="H38"/>
  <c r="F38"/>
  <c r="H31"/>
  <c r="F31"/>
  <c r="H30"/>
  <c r="F30"/>
  <c r="H29"/>
  <c r="F29"/>
  <c r="H28"/>
  <c r="F28"/>
  <c r="H27"/>
  <c r="F27"/>
  <c r="H26"/>
  <c r="F26"/>
  <c r="H25"/>
  <c r="F25"/>
  <c r="H24"/>
  <c r="F24"/>
  <c r="H23"/>
  <c r="F23"/>
  <c r="H22"/>
  <c r="F22"/>
  <c r="H21"/>
  <c r="F21"/>
  <c r="H20"/>
  <c r="F20"/>
  <c r="H19"/>
  <c r="F19"/>
  <c r="H18"/>
  <c r="F18"/>
  <c r="H17"/>
  <c r="F17"/>
  <c r="H16"/>
  <c r="F16"/>
  <c r="H15"/>
  <c r="F15"/>
  <c r="H14"/>
  <c r="F14"/>
  <c r="H13"/>
  <c r="F13"/>
  <c r="H12"/>
  <c r="F12"/>
  <c r="H11"/>
  <c r="F11"/>
  <c r="H10"/>
  <c r="F10"/>
  <c r="H9"/>
  <c r="F9"/>
  <c r="H8"/>
  <c r="F8"/>
  <c r="H7"/>
  <c r="F7"/>
  <c r="H6"/>
  <c r="F6"/>
  <c r="H5"/>
  <c r="F5"/>
  <c r="H4"/>
  <c r="F4"/>
  <c r="H3"/>
  <c r="F3"/>
  <c r="H47" i="82"/>
  <c r="F47"/>
  <c r="H46"/>
  <c r="F46"/>
  <c r="H45"/>
  <c r="F45"/>
  <c r="H44"/>
  <c r="F44"/>
  <c r="H43"/>
  <c r="F43"/>
  <c r="H42"/>
  <c r="F42"/>
  <c r="H41"/>
  <c r="F41"/>
  <c r="H40"/>
  <c r="F40"/>
  <c r="H39"/>
  <c r="F39"/>
  <c r="H38"/>
  <c r="F38"/>
  <c r="H31"/>
  <c r="F31"/>
  <c r="H30"/>
  <c r="F30"/>
  <c r="H29"/>
  <c r="F29"/>
  <c r="H28"/>
  <c r="F28"/>
  <c r="H27"/>
  <c r="F27"/>
  <c r="H26"/>
  <c r="F26"/>
  <c r="H25"/>
  <c r="F25"/>
  <c r="H24"/>
  <c r="F24"/>
  <c r="H23"/>
  <c r="F23"/>
  <c r="H22"/>
  <c r="F22"/>
  <c r="H21"/>
  <c r="F21"/>
  <c r="H20"/>
  <c r="F20"/>
  <c r="H19"/>
  <c r="F19"/>
  <c r="H18"/>
  <c r="F18"/>
  <c r="H17"/>
  <c r="F17"/>
  <c r="H16"/>
  <c r="F16"/>
  <c r="H15"/>
  <c r="F15"/>
  <c r="H14"/>
  <c r="F14"/>
  <c r="H13"/>
  <c r="F13"/>
  <c r="H12"/>
  <c r="F12"/>
  <c r="H11"/>
  <c r="F11"/>
  <c r="H10"/>
  <c r="F10"/>
  <c r="H9"/>
  <c r="F9"/>
  <c r="H8"/>
  <c r="F8"/>
  <c r="H7"/>
  <c r="F7"/>
  <c r="H6"/>
  <c r="F6"/>
  <c r="H5"/>
  <c r="F5"/>
  <c r="H4"/>
  <c r="F4"/>
  <c r="H3"/>
  <c r="F3"/>
  <c r="L3" i="84"/>
  <c r="L4"/>
  <c r="L5"/>
  <c r="L6"/>
  <c r="L7"/>
  <c r="L8"/>
  <c r="L9"/>
  <c r="L10"/>
  <c r="L11"/>
  <c r="L12"/>
  <c r="L37" i="34"/>
  <c r="L13" i="84"/>
  <c r="L14"/>
  <c r="L15"/>
  <c r="L16"/>
  <c r="L17"/>
  <c r="L18"/>
  <c r="L19"/>
  <c r="L20"/>
  <c r="L21"/>
  <c r="L22"/>
  <c r="L23"/>
  <c r="L24"/>
  <c r="L25"/>
  <c r="L26"/>
  <c r="L27"/>
  <c r="L28"/>
  <c r="L29"/>
  <c r="L30"/>
  <c r="L31"/>
  <c r="L32"/>
  <c r="L33"/>
  <c r="L34"/>
  <c r="L35"/>
  <c r="L36"/>
  <c r="L37"/>
  <c r="L38"/>
  <c r="L39"/>
  <c r="L40"/>
  <c r="L41"/>
  <c r="L42"/>
  <c r="L43"/>
  <c r="L44"/>
  <c r="L45"/>
  <c r="L46"/>
  <c r="L47"/>
  <c r="L3" i="85"/>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I47" i="82"/>
  <c r="I46"/>
  <c r="I45"/>
  <c r="I44"/>
  <c r="I43"/>
  <c r="I42"/>
  <c r="I41"/>
  <c r="I40"/>
  <c r="I39"/>
  <c r="I38"/>
  <c r="I37"/>
  <c r="I36"/>
  <c r="I35"/>
  <c r="I33"/>
  <c r="I32"/>
  <c r="I31"/>
  <c r="I30"/>
  <c r="I29"/>
  <c r="I28"/>
  <c r="I27"/>
  <c r="I26"/>
  <c r="I25"/>
  <c r="I24"/>
  <c r="I23"/>
  <c r="I22"/>
  <c r="I21"/>
  <c r="I20"/>
  <c r="I19"/>
  <c r="I18"/>
  <c r="I17"/>
  <c r="I16"/>
  <c r="I15"/>
  <c r="I14"/>
  <c r="I13"/>
  <c r="I12"/>
  <c r="I11"/>
  <c r="I10"/>
  <c r="I9"/>
  <c r="I8"/>
  <c r="I7"/>
  <c r="I6"/>
  <c r="I5"/>
  <c r="I4"/>
  <c r="I3"/>
  <c r="I47" i="83"/>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3"/>
  <c r="L3" i="82"/>
  <c r="L4"/>
  <c r="L5"/>
  <c r="L6"/>
  <c r="L7"/>
  <c r="L8"/>
  <c r="L9"/>
  <c r="L10"/>
  <c r="L11"/>
  <c r="L12"/>
  <c r="L13"/>
  <c r="L14"/>
  <c r="L15"/>
  <c r="L16"/>
  <c r="L17"/>
  <c r="L18"/>
  <c r="L19"/>
  <c r="L20"/>
  <c r="L21"/>
  <c r="L22"/>
  <c r="L23"/>
  <c r="L24"/>
  <c r="L25"/>
  <c r="L26"/>
  <c r="L27"/>
  <c r="L28"/>
  <c r="L29"/>
  <c r="L30"/>
  <c r="L31"/>
  <c r="L32"/>
  <c r="L33"/>
  <c r="L35"/>
  <c r="L36"/>
  <c r="L37"/>
  <c r="L38"/>
  <c r="L39"/>
  <c r="L40"/>
  <c r="L41"/>
  <c r="L42"/>
  <c r="L43"/>
  <c r="L44"/>
  <c r="L45"/>
  <c r="L46"/>
  <c r="L47"/>
  <c r="L3" i="83"/>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H34" i="81"/>
  <c r="H52"/>
  <c r="H51"/>
  <c r="H47"/>
  <c r="H46"/>
  <c r="H45"/>
  <c r="H44"/>
  <c r="H43"/>
  <c r="H42"/>
  <c r="H41"/>
  <c r="H40"/>
  <c r="H39"/>
  <c r="H38"/>
  <c r="H36"/>
  <c r="H33"/>
  <c r="H32"/>
  <c r="H31"/>
  <c r="H30"/>
  <c r="H29"/>
  <c r="H28"/>
  <c r="H27"/>
  <c r="H26"/>
  <c r="H25"/>
  <c r="H24"/>
  <c r="H23"/>
  <c r="H22"/>
  <c r="H21"/>
  <c r="H20"/>
  <c r="H19"/>
  <c r="H18"/>
  <c r="H17"/>
  <c r="H16"/>
  <c r="H15"/>
  <c r="H14"/>
  <c r="H13"/>
  <c r="H12"/>
  <c r="H11"/>
  <c r="H10"/>
  <c r="H9"/>
  <c r="H8"/>
  <c r="H7"/>
  <c r="H6"/>
  <c r="H5"/>
  <c r="H4"/>
  <c r="F52"/>
  <c r="F51"/>
  <c r="F47"/>
  <c r="F46"/>
  <c r="F45"/>
  <c r="F44"/>
  <c r="F43"/>
  <c r="F42"/>
  <c r="F41"/>
  <c r="F40"/>
  <c r="F39"/>
  <c r="F38"/>
  <c r="F36"/>
  <c r="F34"/>
  <c r="F33"/>
  <c r="F32"/>
  <c r="F31"/>
  <c r="F30"/>
  <c r="F29"/>
  <c r="F28"/>
  <c r="F27"/>
  <c r="F26"/>
  <c r="F25"/>
  <c r="F24"/>
  <c r="F23"/>
  <c r="F22"/>
  <c r="F21"/>
  <c r="F20"/>
  <c r="F19"/>
  <c r="F18"/>
  <c r="F17"/>
  <c r="F16"/>
  <c r="F15"/>
  <c r="F14"/>
  <c r="F13"/>
  <c r="F12"/>
  <c r="F11"/>
  <c r="F10"/>
  <c r="F9"/>
  <c r="F8"/>
  <c r="F7"/>
  <c r="F6"/>
  <c r="F5"/>
  <c r="F4"/>
  <c r="H3"/>
  <c r="F3"/>
  <c r="I3"/>
  <c r="L3"/>
  <c r="I4"/>
  <c r="L4"/>
  <c r="I5"/>
  <c r="L5"/>
  <c r="I6"/>
  <c r="L6"/>
  <c r="I7"/>
  <c r="L7"/>
  <c r="I8"/>
  <c r="L8"/>
  <c r="I9"/>
  <c r="L9"/>
  <c r="I10"/>
  <c r="L10"/>
  <c r="I11"/>
  <c r="L11"/>
  <c r="I12"/>
  <c r="L12"/>
  <c r="I13"/>
  <c r="L13"/>
  <c r="I14"/>
  <c r="L14"/>
  <c r="I15"/>
  <c r="L15"/>
  <c r="I16"/>
  <c r="L16"/>
  <c r="I17"/>
  <c r="L17"/>
  <c r="I18"/>
  <c r="L18"/>
  <c r="I19"/>
  <c r="L19"/>
  <c r="I20"/>
  <c r="L20"/>
  <c r="I21"/>
  <c r="L21"/>
  <c r="I22"/>
  <c r="L22"/>
  <c r="I23"/>
  <c r="L23"/>
  <c r="I24"/>
  <c r="L24"/>
  <c r="I25"/>
  <c r="L25"/>
  <c r="I26"/>
  <c r="L26"/>
  <c r="I27"/>
  <c r="L27"/>
  <c r="I28"/>
  <c r="L28"/>
  <c r="I29"/>
  <c r="L29"/>
  <c r="I30"/>
  <c r="L30"/>
  <c r="I31"/>
  <c r="L31"/>
  <c r="I32"/>
  <c r="L32"/>
  <c r="I33"/>
  <c r="L33"/>
  <c r="I34"/>
  <c r="L34"/>
  <c r="I36"/>
  <c r="L36"/>
  <c r="I37"/>
  <c r="L37"/>
  <c r="I35"/>
  <c r="L35"/>
  <c r="I38"/>
  <c r="L38"/>
  <c r="I39"/>
  <c r="L39"/>
  <c r="I40"/>
  <c r="L40"/>
  <c r="I41"/>
  <c r="L41"/>
  <c r="I42"/>
  <c r="L42"/>
  <c r="I43"/>
  <c r="L43"/>
  <c r="I44"/>
  <c r="L44"/>
  <c r="I45"/>
  <c r="L45"/>
  <c r="I46"/>
  <c r="L46"/>
  <c r="I47"/>
  <c r="L47"/>
  <c r="E1" i="79"/>
  <c r="E2"/>
  <c r="E3"/>
  <c r="M20"/>
  <c r="M21"/>
  <c r="M22"/>
  <c r="M23"/>
  <c r="E1" i="78"/>
  <c r="E2"/>
  <c r="M20"/>
  <c r="M21"/>
  <c r="M22"/>
  <c r="M23"/>
  <c r="E34"/>
  <c r="E36"/>
  <c r="E37"/>
  <c r="L47" i="7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L5"/>
  <c r="L4"/>
  <c r="L3"/>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3"/>
  <c r="H46"/>
  <c r="F46"/>
  <c r="H45"/>
  <c r="F45"/>
  <c r="H44"/>
  <c r="F44"/>
  <c r="H43"/>
  <c r="F43"/>
  <c r="H42"/>
  <c r="F42"/>
  <c r="H41"/>
  <c r="F41"/>
  <c r="H40"/>
  <c r="F40"/>
  <c r="H39"/>
  <c r="F39"/>
  <c r="H38"/>
  <c r="F38"/>
  <c r="H47"/>
  <c r="F47"/>
  <c r="H34"/>
  <c r="F34"/>
  <c r="H33"/>
  <c r="F33"/>
  <c r="H32"/>
  <c r="F32"/>
  <c r="H31"/>
  <c r="F31"/>
  <c r="H30"/>
  <c r="F30"/>
  <c r="H29"/>
  <c r="F29"/>
  <c r="H28"/>
  <c r="F28"/>
  <c r="H27"/>
  <c r="F27"/>
  <c r="H26"/>
  <c r="F26"/>
  <c r="H25"/>
  <c r="F25"/>
  <c r="H24"/>
  <c r="F24"/>
  <c r="H23"/>
  <c r="F23"/>
  <c r="H22"/>
  <c r="F22"/>
  <c r="H21"/>
  <c r="F21"/>
  <c r="H20"/>
  <c r="F20"/>
  <c r="H19"/>
  <c r="F19"/>
  <c r="H18"/>
  <c r="F18"/>
  <c r="H17"/>
  <c r="F17"/>
  <c r="H16"/>
  <c r="F16"/>
  <c r="H15"/>
  <c r="F15"/>
  <c r="H14"/>
  <c r="F14"/>
  <c r="F13"/>
  <c r="H13"/>
  <c r="H12"/>
  <c r="F12"/>
  <c r="H11"/>
  <c r="F11"/>
  <c r="H10"/>
  <c r="F10"/>
  <c r="H9"/>
  <c r="F9"/>
  <c r="H8"/>
  <c r="F8"/>
  <c r="H7"/>
  <c r="F7"/>
  <c r="H6"/>
  <c r="F6"/>
  <c r="H5"/>
  <c r="F5"/>
  <c r="H4"/>
  <c r="F4"/>
  <c r="F3"/>
  <c r="H3"/>
  <c r="G27" i="64"/>
  <c r="E3" i="47"/>
  <c r="G27" s="1"/>
  <c r="E3" i="50"/>
  <c r="E36" s="1"/>
  <c r="E3" i="49"/>
  <c r="G27"/>
  <c r="E3" i="51"/>
  <c r="E3" i="52"/>
  <c r="G27" s="1"/>
  <c r="E3" i="65"/>
  <c r="E3" i="48"/>
  <c r="G27" s="1"/>
  <c r="E3" i="53"/>
  <c r="E3" i="34"/>
  <c r="G27" s="1"/>
  <c r="E3" i="54"/>
  <c r="E3" i="33"/>
  <c r="G27" s="1"/>
  <c r="E3" i="66"/>
  <c r="E3" i="67"/>
  <c r="G27" s="1"/>
  <c r="E3" i="55"/>
  <c r="G27" s="1"/>
  <c r="E3" i="68"/>
  <c r="G27" s="1"/>
  <c r="E3" i="69"/>
  <c r="E3" i="56"/>
  <c r="E3" i="59"/>
  <c r="G27" s="1"/>
  <c r="E3" i="70"/>
  <c r="E3" i="60"/>
  <c r="G27" s="1"/>
  <c r="E3" i="58"/>
  <c r="E3" i="71"/>
  <c r="E3" i="57"/>
  <c r="G27" s="1"/>
  <c r="E3" i="72"/>
  <c r="E3" i="61"/>
  <c r="G27" s="1"/>
  <c r="E3" i="73"/>
  <c r="E3" i="62"/>
  <c r="G27" s="1"/>
  <c r="E3" i="74"/>
  <c r="E3" i="75"/>
  <c r="E3" i="28"/>
  <c r="E3" i="41"/>
  <c r="G27" s="1"/>
  <c r="E3" i="42"/>
  <c r="E3" i="43"/>
  <c r="G27" s="1"/>
  <c r="E3" i="35"/>
  <c r="E3" i="36"/>
  <c r="E3" i="37"/>
  <c r="E3" i="44"/>
  <c r="G27" s="1"/>
  <c r="E3" i="45"/>
  <c r="E3" i="46"/>
  <c r="G27" s="1"/>
  <c r="E3" i="9"/>
  <c r="E3" i="13"/>
  <c r="E3" i="14"/>
  <c r="G27" s="1"/>
  <c r="E3" i="6"/>
  <c r="G27"/>
  <c r="E3" i="63"/>
  <c r="K39" i="13"/>
  <c r="K39" i="21"/>
  <c r="K39" i="18"/>
  <c r="K39" i="6"/>
  <c r="K39" i="25"/>
  <c r="K39" i="23"/>
  <c r="K39" i="22"/>
  <c r="J39" i="75"/>
  <c r="K39"/>
  <c r="J39" i="74"/>
  <c r="J39" i="62"/>
  <c r="L39" s="1"/>
  <c r="J39" i="73"/>
  <c r="J39" i="61"/>
  <c r="L39"/>
  <c r="J39" i="28"/>
  <c r="M39"/>
  <c r="K39"/>
  <c r="M37"/>
  <c r="M36"/>
  <c r="K39" i="62"/>
  <c r="K39" i="73"/>
  <c r="K39" i="61"/>
  <c r="J39" i="72"/>
  <c r="L39"/>
  <c r="L37"/>
  <c r="J39" i="57"/>
  <c r="K39"/>
  <c r="J39" i="71"/>
  <c r="L39" s="1"/>
  <c r="K39"/>
  <c r="J39" i="58"/>
  <c r="K39"/>
  <c r="J39" i="32"/>
  <c r="L39"/>
  <c r="K39"/>
  <c r="K39" i="60"/>
  <c r="L39" s="1"/>
  <c r="J39"/>
  <c r="K39" i="59"/>
  <c r="J39"/>
  <c r="J39" i="69"/>
  <c r="K39"/>
  <c r="K39" i="55"/>
  <c r="K39" i="54"/>
  <c r="L39" s="1"/>
  <c r="J39" i="52"/>
  <c r="L39" s="1"/>
  <c r="J39" i="70"/>
  <c r="L39" s="1"/>
  <c r="L37"/>
  <c r="L36"/>
  <c r="J39" i="56"/>
  <c r="K39"/>
  <c r="J39" i="55"/>
  <c r="J39" i="67"/>
  <c r="J39" i="33"/>
  <c r="K39"/>
  <c r="J39" i="54"/>
  <c r="J39" i="34"/>
  <c r="K39"/>
  <c r="J39" i="65"/>
  <c r="K39"/>
  <c r="L36" i="53"/>
  <c r="L37"/>
  <c r="L39" s="1"/>
  <c r="L38"/>
  <c r="J39"/>
  <c r="M37" i="48"/>
  <c r="M38"/>
  <c r="M36"/>
  <c r="J39"/>
  <c r="E1" i="75"/>
  <c r="E2"/>
  <c r="E1" i="74"/>
  <c r="E2"/>
  <c r="L20"/>
  <c r="L21"/>
  <c r="M21"/>
  <c r="L22"/>
  <c r="M22"/>
  <c r="L23"/>
  <c r="M23"/>
  <c r="E1" i="73"/>
  <c r="E2"/>
  <c r="E1" i="72"/>
  <c r="E2"/>
  <c r="K20"/>
  <c r="L20"/>
  <c r="M20"/>
  <c r="K21"/>
  <c r="L21"/>
  <c r="M21"/>
  <c r="K22"/>
  <c r="L22"/>
  <c r="M22"/>
  <c r="K23"/>
  <c r="L23"/>
  <c r="M23"/>
  <c r="E1" i="71"/>
  <c r="E2"/>
  <c r="E34"/>
  <c r="E1" i="70"/>
  <c r="E2"/>
  <c r="K20"/>
  <c r="L20"/>
  <c r="M20"/>
  <c r="K21"/>
  <c r="L21"/>
  <c r="M21"/>
  <c r="K22"/>
  <c r="L22"/>
  <c r="M22"/>
  <c r="K23"/>
  <c r="L23"/>
  <c r="M23"/>
  <c r="E34"/>
  <c r="E1" i="69"/>
  <c r="E2"/>
  <c r="E37"/>
  <c r="E1" i="68"/>
  <c r="E2"/>
  <c r="N27"/>
  <c r="E34"/>
  <c r="E36"/>
  <c r="E37"/>
  <c r="E1" i="67"/>
  <c r="E2"/>
  <c r="N27"/>
  <c r="E34"/>
  <c r="E36"/>
  <c r="E37"/>
  <c r="E1" i="66"/>
  <c r="E2"/>
  <c r="E37"/>
  <c r="E1" i="65"/>
  <c r="E2"/>
  <c r="E1" i="64"/>
  <c r="E2"/>
  <c r="K20"/>
  <c r="L20"/>
  <c r="M20"/>
  <c r="K21"/>
  <c r="L21"/>
  <c r="M21"/>
  <c r="K22"/>
  <c r="L22"/>
  <c r="M22"/>
  <c r="K23"/>
  <c r="L23"/>
  <c r="M23"/>
  <c r="N27"/>
  <c r="E34"/>
  <c r="E36"/>
  <c r="E37"/>
  <c r="E1" i="63"/>
  <c r="E2"/>
  <c r="K20"/>
  <c r="L20"/>
  <c r="M20"/>
  <c r="K21"/>
  <c r="L21"/>
  <c r="M21"/>
  <c r="K22"/>
  <c r="L22"/>
  <c r="M22"/>
  <c r="K23"/>
  <c r="L23"/>
  <c r="M23"/>
  <c r="E1" i="61"/>
  <c r="E2"/>
  <c r="E36"/>
  <c r="E37"/>
  <c r="E1" i="62"/>
  <c r="E2"/>
  <c r="N27"/>
  <c r="E34"/>
  <c r="E37"/>
  <c r="E1" i="59"/>
  <c r="E2"/>
  <c r="N27"/>
  <c r="E34"/>
  <c r="E36"/>
  <c r="E37"/>
  <c r="E1" i="60"/>
  <c r="E2"/>
  <c r="N27"/>
  <c r="E34"/>
  <c r="E36"/>
  <c r="E37"/>
  <c r="E1" i="58"/>
  <c r="E2"/>
  <c r="E36"/>
  <c r="E1" i="57"/>
  <c r="E2"/>
  <c r="L20"/>
  <c r="M20"/>
  <c r="L21"/>
  <c r="M21"/>
  <c r="L22"/>
  <c r="M22"/>
  <c r="L23"/>
  <c r="M23"/>
  <c r="N27"/>
  <c r="E34"/>
  <c r="E37"/>
  <c r="E1" i="56"/>
  <c r="E2"/>
  <c r="L20"/>
  <c r="M20"/>
  <c r="L21"/>
  <c r="M21"/>
  <c r="L22"/>
  <c r="M22"/>
  <c r="L23"/>
  <c r="M23"/>
  <c r="E1" i="55"/>
  <c r="E2"/>
  <c r="K20"/>
  <c r="K21"/>
  <c r="K22"/>
  <c r="K23"/>
  <c r="N27"/>
  <c r="E1" i="54"/>
  <c r="E2"/>
  <c r="K20"/>
  <c r="M20"/>
  <c r="K21"/>
  <c r="M21"/>
  <c r="K22"/>
  <c r="M22"/>
  <c r="K23"/>
  <c r="M23"/>
  <c r="E36"/>
  <c r="E1" i="53"/>
  <c r="E2"/>
  <c r="L20"/>
  <c r="M20"/>
  <c r="L21"/>
  <c r="M21"/>
  <c r="L22"/>
  <c r="M22"/>
  <c r="L23"/>
  <c r="M23"/>
  <c r="N27"/>
  <c r="E1" i="52"/>
  <c r="E2"/>
  <c r="N27"/>
  <c r="E34"/>
  <c r="E36"/>
  <c r="E37"/>
  <c r="E1" i="51"/>
  <c r="E2"/>
  <c r="N27"/>
  <c r="E1" i="50"/>
  <c r="E2"/>
  <c r="M20"/>
  <c r="M21"/>
  <c r="M22"/>
  <c r="M23"/>
  <c r="E1" i="49"/>
  <c r="E2"/>
  <c r="N27"/>
  <c r="E34"/>
  <c r="E36"/>
  <c r="E37"/>
  <c r="E1" i="48"/>
  <c r="E2"/>
  <c r="M23"/>
  <c r="N27"/>
  <c r="E34"/>
  <c r="E36"/>
  <c r="E37"/>
  <c r="E1" i="47"/>
  <c r="E2"/>
  <c r="N27"/>
  <c r="E34"/>
  <c r="E36"/>
  <c r="E37"/>
  <c r="E1" i="44"/>
  <c r="E2"/>
  <c r="E34"/>
  <c r="E36"/>
  <c r="E37"/>
  <c r="E1" i="45"/>
  <c r="E2"/>
  <c r="E34"/>
  <c r="E37"/>
  <c r="E1" i="46"/>
  <c r="E2"/>
  <c r="E34"/>
  <c r="E36"/>
  <c r="E37"/>
  <c r="E1" i="41"/>
  <c r="E2"/>
  <c r="N27"/>
  <c r="E34"/>
  <c r="E37"/>
  <c r="E1" i="42"/>
  <c r="E2"/>
  <c r="E1" i="43"/>
  <c r="E2"/>
  <c r="N27"/>
  <c r="E34"/>
  <c r="E37"/>
  <c r="E1" i="37"/>
  <c r="E2"/>
  <c r="E1" i="36"/>
  <c r="E2"/>
  <c r="E1" i="35"/>
  <c r="E2"/>
  <c r="E34"/>
  <c r="E37"/>
  <c r="E1" i="34"/>
  <c r="E2"/>
  <c r="N27"/>
  <c r="E34"/>
  <c r="E36"/>
  <c r="E37"/>
  <c r="E1" i="33"/>
  <c r="E2"/>
  <c r="N27"/>
  <c r="E34"/>
  <c r="E36"/>
  <c r="E37"/>
  <c r="E1" i="32"/>
  <c r="E2"/>
  <c r="E37"/>
  <c r="E2" i="28"/>
  <c r="N27"/>
  <c r="E36"/>
  <c r="E1" i="25"/>
  <c r="E2"/>
  <c r="M20"/>
  <c r="M21"/>
  <c r="M22"/>
  <c r="M23"/>
  <c r="N27"/>
  <c r="E34"/>
  <c r="E36"/>
  <c r="E37"/>
  <c r="E1" i="23"/>
  <c r="E2"/>
  <c r="E36"/>
  <c r="E1" i="22"/>
  <c r="E2"/>
  <c r="N27"/>
  <c r="E34"/>
  <c r="E36"/>
  <c r="E37"/>
  <c r="E1" i="21"/>
  <c r="E2"/>
  <c r="E37"/>
  <c r="E1" i="18"/>
  <c r="E2"/>
  <c r="N27"/>
  <c r="E34"/>
  <c r="E36"/>
  <c r="E37"/>
  <c r="E1" i="16"/>
  <c r="E2"/>
  <c r="E37"/>
  <c r="E1" i="14"/>
  <c r="E2"/>
  <c r="N27"/>
  <c r="E34"/>
  <c r="E36"/>
  <c r="E1" i="13"/>
  <c r="E2"/>
  <c r="E1" i="9"/>
  <c r="E2"/>
  <c r="E2" i="6"/>
  <c r="E1"/>
  <c r="E36"/>
  <c r="E37"/>
  <c r="E34"/>
  <c r="N27"/>
  <c r="M20" i="74"/>
  <c r="L36"/>
  <c r="K39"/>
  <c r="L39"/>
  <c r="M23" i="16"/>
  <c r="E34" i="79"/>
  <c r="E37"/>
  <c r="N27"/>
  <c r="K39" i="48"/>
  <c r="D34"/>
  <c r="L39"/>
  <c r="E34" i="55"/>
  <c r="G27" i="75"/>
  <c r="E36" i="55"/>
  <c r="E36" i="69"/>
  <c r="E34"/>
  <c r="G27"/>
  <c r="N27"/>
  <c r="E37" i="55"/>
  <c r="D34" i="46"/>
  <c r="D34" i="72"/>
  <c r="F13" s="1"/>
  <c r="K29" i="77"/>
  <c r="D34" i="57"/>
  <c r="F15" s="1"/>
  <c r="D34" i="58"/>
  <c r="D34" i="32"/>
  <c r="F16" s="1"/>
  <c r="D34" i="50"/>
  <c r="N27" i="78"/>
  <c r="N27" i="63"/>
  <c r="E37"/>
  <c r="G27"/>
  <c r="E36"/>
  <c r="E37" i="13"/>
  <c r="G27"/>
  <c r="E34"/>
  <c r="E36" i="37"/>
  <c r="G27"/>
  <c r="N27"/>
  <c r="E36" i="74"/>
  <c r="E34"/>
  <c r="G27"/>
  <c r="N27"/>
  <c r="N27" i="45"/>
  <c r="G27"/>
  <c r="E36"/>
  <c r="E36" i="35"/>
  <c r="G27"/>
  <c r="N27"/>
  <c r="E34" i="28"/>
  <c r="G27"/>
  <c r="E37"/>
  <c r="E36" i="73"/>
  <c r="N27" i="71"/>
  <c r="E37"/>
  <c r="G27"/>
  <c r="E36"/>
  <c r="N27" i="13"/>
  <c r="E34" i="63"/>
  <c r="E36" i="13"/>
  <c r="E34" i="37"/>
  <c r="E34" i="9"/>
  <c r="E36" i="72"/>
  <c r="E34"/>
  <c r="G27"/>
  <c r="N27"/>
  <c r="E37" i="37"/>
  <c r="E37" i="72"/>
  <c r="E37" i="74"/>
  <c r="L39" i="56"/>
  <c r="L39" i="58"/>
  <c r="E37" i="14"/>
  <c r="E36" i="43"/>
  <c r="E36" i="41"/>
  <c r="N27" i="46"/>
  <c r="N27" i="44"/>
  <c r="E36" i="57"/>
  <c r="E36" i="62"/>
  <c r="N27" i="61"/>
  <c r="E36" i="79"/>
  <c r="E37" i="75"/>
  <c r="G27" i="79"/>
  <c r="D13" i="72"/>
  <c r="E13"/>
  <c r="D16"/>
  <c r="E16" i="57"/>
  <c r="D13"/>
  <c r="E13"/>
  <c r="D20"/>
  <c r="F16" i="58"/>
  <c r="D23"/>
  <c r="L39" i="25"/>
  <c r="E23" i="78"/>
  <c r="D23" i="46"/>
  <c r="D21"/>
  <c r="L16"/>
  <c r="D16"/>
  <c r="F15"/>
  <c r="L14"/>
  <c r="D14"/>
  <c r="F13"/>
  <c r="K22"/>
  <c r="K20"/>
  <c r="M16"/>
  <c r="E16"/>
  <c r="K15"/>
  <c r="M14"/>
  <c r="E14"/>
  <c r="K13"/>
  <c r="K23"/>
  <c r="M15"/>
  <c r="K14"/>
  <c r="E13"/>
  <c r="D22"/>
  <c r="F16"/>
  <c r="D15"/>
  <c r="L13"/>
  <c r="K21"/>
  <c r="K16"/>
  <c r="E15"/>
  <c r="M13"/>
  <c r="D34" i="60"/>
  <c r="D20" i="46"/>
  <c r="L15"/>
  <c r="F15" i="32"/>
  <c r="F13"/>
  <c r="E15"/>
  <c r="D13"/>
  <c r="F14"/>
  <c r="E14"/>
  <c r="D14" i="50"/>
  <c r="D34" i="61"/>
  <c r="D34" i="52"/>
  <c r="F14" i="46"/>
  <c r="D34" i="41"/>
  <c r="K22" s="1"/>
  <c r="D34" i="70"/>
  <c r="D34" i="73"/>
  <c r="D34" i="64"/>
  <c r="D34" i="45"/>
  <c r="D34" i="44"/>
  <c r="D34" i="28"/>
  <c r="F21" i="48"/>
  <c r="E15"/>
  <c r="E22"/>
  <c r="E16"/>
  <c r="K11" i="85"/>
  <c r="N11" s="1"/>
  <c r="L23" i="48"/>
  <c r="L22"/>
  <c r="K20"/>
  <c r="M15"/>
  <c r="E13"/>
  <c r="M22"/>
  <c r="F20"/>
  <c r="M20"/>
  <c r="D16" i="57"/>
  <c r="K28" i="77"/>
  <c r="K28" i="84"/>
  <c r="K28" i="81"/>
  <c r="U28" s="1"/>
  <c r="K22" i="57"/>
  <c r="M13"/>
  <c r="K15"/>
  <c r="L16"/>
  <c r="K28" i="83"/>
  <c r="K21" i="57"/>
  <c r="D23"/>
  <c r="K28" i="82"/>
  <c r="K23" i="57"/>
  <c r="L13"/>
  <c r="M14"/>
  <c r="K16"/>
  <c r="L15"/>
  <c r="K20"/>
  <c r="K13"/>
  <c r="L14"/>
  <c r="M15"/>
  <c r="K14"/>
  <c r="M16"/>
  <c r="K26" i="84"/>
  <c r="S26" s="1"/>
  <c r="K26" i="83"/>
  <c r="K14" i="58"/>
  <c r="K22"/>
  <c r="L16"/>
  <c r="K23"/>
  <c r="K20"/>
  <c r="L14"/>
  <c r="K46" i="81"/>
  <c r="K46" i="77"/>
  <c r="K46" i="83"/>
  <c r="K46" i="85"/>
  <c r="D13" i="46"/>
  <c r="K46" i="84"/>
  <c r="K46" i="82"/>
  <c r="D15" i="72"/>
  <c r="F15"/>
  <c r="E14" i="50"/>
  <c r="K37" i="82"/>
  <c r="D22" i="57"/>
  <c r="F13"/>
  <c r="E14"/>
  <c r="K29" i="81"/>
  <c r="K29" i="85"/>
  <c r="F14" i="72"/>
  <c r="K13"/>
  <c r="L14"/>
  <c r="M15"/>
  <c r="K29" i="82"/>
  <c r="S29" s="1"/>
  <c r="K14" i="72"/>
  <c r="L15"/>
  <c r="M16"/>
  <c r="K29" i="84"/>
  <c r="U29" s="1"/>
  <c r="M13" i="72"/>
  <c r="L16"/>
  <c r="L13"/>
  <c r="K16"/>
  <c r="K15"/>
  <c r="M14"/>
  <c r="L20" i="78"/>
  <c r="K16"/>
  <c r="K13"/>
  <c r="K14"/>
  <c r="M13"/>
  <c r="K15"/>
  <c r="K6" i="81"/>
  <c r="L20" i="50"/>
  <c r="K16"/>
  <c r="L21"/>
  <c r="L23"/>
  <c r="L15"/>
  <c r="L16"/>
  <c r="F23" i="32"/>
  <c r="E20"/>
  <c r="D23"/>
  <c r="D22"/>
  <c r="K25" i="82"/>
  <c r="K25" i="83"/>
  <c r="K25" i="81"/>
  <c r="K25" i="77"/>
  <c r="F20" i="32"/>
  <c r="E23"/>
  <c r="D21"/>
  <c r="K25" i="85"/>
  <c r="F22" i="32"/>
  <c r="D16"/>
  <c r="K25" i="84"/>
  <c r="K21" i="32"/>
  <c r="L22"/>
  <c r="M23"/>
  <c r="K15"/>
  <c r="L16"/>
  <c r="M22"/>
  <c r="M16"/>
  <c r="F21"/>
  <c r="E22"/>
  <c r="D20"/>
  <c r="L13"/>
  <c r="L20"/>
  <c r="K22"/>
  <c r="L23"/>
  <c r="M14"/>
  <c r="K16"/>
  <c r="M20"/>
  <c r="K13"/>
  <c r="K20"/>
  <c r="M21"/>
  <c r="K23"/>
  <c r="L14"/>
  <c r="M15"/>
  <c r="M13"/>
  <c r="E21"/>
  <c r="L21"/>
  <c r="K14"/>
  <c r="L15"/>
  <c r="K37" i="83"/>
  <c r="K29"/>
  <c r="N29" s="1"/>
  <c r="D14" i="72"/>
  <c r="E13" i="50"/>
  <c r="D23" i="78"/>
  <c r="F14"/>
  <c r="D21" i="57"/>
  <c r="E15"/>
  <c r="D15"/>
  <c r="F16"/>
  <c r="E16" i="72"/>
  <c r="E14"/>
  <c r="E15"/>
  <c r="F16"/>
  <c r="D23" i="45"/>
  <c r="D21"/>
  <c r="L16"/>
  <c r="D16"/>
  <c r="F15"/>
  <c r="L14"/>
  <c r="D14"/>
  <c r="F13"/>
  <c r="K22"/>
  <c r="K20"/>
  <c r="M16"/>
  <c r="E16"/>
  <c r="K15"/>
  <c r="M14"/>
  <c r="E14"/>
  <c r="K13"/>
  <c r="K23"/>
  <c r="M15"/>
  <c r="K14"/>
  <c r="E13"/>
  <c r="D22"/>
  <c r="F16"/>
  <c r="D15"/>
  <c r="L13"/>
  <c r="K21"/>
  <c r="K16"/>
  <c r="E15"/>
  <c r="M13"/>
  <c r="F14"/>
  <c r="K45" i="85"/>
  <c r="L15" i="45"/>
  <c r="D20"/>
  <c r="K45" i="84"/>
  <c r="K45" i="82"/>
  <c r="K45" i="77"/>
  <c r="D13" i="45"/>
  <c r="K45" i="83"/>
  <c r="K45" i="81"/>
  <c r="D23" i="44"/>
  <c r="D21"/>
  <c r="L16"/>
  <c r="D16"/>
  <c r="F15"/>
  <c r="L14"/>
  <c r="D14"/>
  <c r="F13"/>
  <c r="K22"/>
  <c r="K20"/>
  <c r="M16"/>
  <c r="E16"/>
  <c r="K15"/>
  <c r="M14"/>
  <c r="E14"/>
  <c r="K13"/>
  <c r="K23"/>
  <c r="M15"/>
  <c r="K14"/>
  <c r="E13"/>
  <c r="D22"/>
  <c r="F16"/>
  <c r="D15"/>
  <c r="L13"/>
  <c r="K21"/>
  <c r="K16"/>
  <c r="E15"/>
  <c r="M13"/>
  <c r="F14"/>
  <c r="K44" i="85"/>
  <c r="O44" s="1"/>
  <c r="L15" i="44"/>
  <c r="D20"/>
  <c r="D13"/>
  <c r="K44" i="82"/>
  <c r="T44" s="1"/>
  <c r="K44" i="81"/>
  <c r="K44" i="84"/>
  <c r="K44" i="83"/>
  <c r="K44" i="77"/>
  <c r="T44" s="1"/>
  <c r="F16" i="70"/>
  <c r="F14"/>
  <c r="E16"/>
  <c r="E14"/>
  <c r="D15"/>
  <c r="F15"/>
  <c r="F13"/>
  <c r="E15"/>
  <c r="E13"/>
  <c r="D14"/>
  <c r="D13"/>
  <c r="K23" i="84"/>
  <c r="K23" i="85"/>
  <c r="K23" i="83"/>
  <c r="K23" i="81"/>
  <c r="K23" i="82"/>
  <c r="D16" i="70"/>
  <c r="M13"/>
  <c r="K15"/>
  <c r="L16"/>
  <c r="L13"/>
  <c r="M14"/>
  <c r="K16"/>
  <c r="K23" i="77"/>
  <c r="K13" i="70"/>
  <c r="L14"/>
  <c r="M15"/>
  <c r="M16"/>
  <c r="L15"/>
  <c r="K14"/>
  <c r="F21" i="60"/>
  <c r="E15"/>
  <c r="D21"/>
  <c r="D23"/>
  <c r="K24" i="84"/>
  <c r="T24" s="1"/>
  <c r="K24" i="82"/>
  <c r="L21" i="60"/>
  <c r="M15"/>
  <c r="L22"/>
  <c r="M16"/>
  <c r="L23"/>
  <c r="L13"/>
  <c r="M21"/>
  <c r="F15" i="28"/>
  <c r="D14"/>
  <c r="F20"/>
  <c r="E14"/>
  <c r="K36" i="84"/>
  <c r="E20" i="28"/>
  <c r="K36" i="82"/>
  <c r="M21" i="28"/>
  <c r="K16"/>
  <c r="M23"/>
  <c r="D20"/>
  <c r="L21"/>
  <c r="K22"/>
  <c r="M15"/>
  <c r="F15" i="64"/>
  <c r="F13"/>
  <c r="E15"/>
  <c r="E13"/>
  <c r="D14"/>
  <c r="D13"/>
  <c r="F16"/>
  <c r="F14"/>
  <c r="E16"/>
  <c r="E14"/>
  <c r="D15"/>
  <c r="K4" i="84"/>
  <c r="D16" i="64"/>
  <c r="K4" i="83"/>
  <c r="K4" i="82"/>
  <c r="M13" i="64"/>
  <c r="K15"/>
  <c r="L16"/>
  <c r="K4" i="85"/>
  <c r="L13" i="64"/>
  <c r="M14"/>
  <c r="K16"/>
  <c r="K13"/>
  <c r="L14"/>
  <c r="M15"/>
  <c r="K4" i="77"/>
  <c r="M16" i="64"/>
  <c r="L15"/>
  <c r="K4" i="81"/>
  <c r="K14" i="64"/>
  <c r="F14" i="61"/>
  <c r="E14"/>
  <c r="F16"/>
  <c r="F20"/>
  <c r="E20"/>
  <c r="D20"/>
  <c r="K30" i="83"/>
  <c r="K30" i="77"/>
  <c r="P30" s="1"/>
  <c r="M13" i="61"/>
  <c r="M21"/>
  <c r="K16"/>
  <c r="K13"/>
  <c r="L22"/>
  <c r="L15"/>
  <c r="P37" i="83"/>
  <c r="T29"/>
  <c r="F21" i="51"/>
  <c r="F13"/>
  <c r="D13"/>
  <c r="E20"/>
  <c r="E14"/>
  <c r="D22"/>
  <c r="L21"/>
  <c r="M15"/>
  <c r="M23"/>
  <c r="M20"/>
  <c r="K15"/>
  <c r="L20"/>
  <c r="D22" i="41"/>
  <c r="D21"/>
  <c r="D16"/>
  <c r="F15"/>
  <c r="D13"/>
  <c r="F21" i="62"/>
  <c r="E14"/>
  <c r="F15"/>
  <c r="D23"/>
  <c r="D20"/>
  <c r="K32" i="84"/>
  <c r="K32" i="81"/>
  <c r="U32" s="1"/>
  <c r="K13" i="62"/>
  <c r="L22"/>
  <c r="M16"/>
  <c r="M20"/>
  <c r="K15"/>
  <c r="M21"/>
  <c r="F16" i="73"/>
  <c r="F15"/>
  <c r="F13"/>
  <c r="E15"/>
  <c r="E13"/>
  <c r="D14"/>
  <c r="F23"/>
  <c r="F22"/>
  <c r="F21"/>
  <c r="F20"/>
  <c r="E23"/>
  <c r="E22"/>
  <c r="E21"/>
  <c r="E20"/>
  <c r="D23"/>
  <c r="D22"/>
  <c r="F14"/>
  <c r="E16"/>
  <c r="E14"/>
  <c r="D15"/>
  <c r="D13"/>
  <c r="D16"/>
  <c r="D21"/>
  <c r="D20"/>
  <c r="K31" i="85"/>
  <c r="N31"/>
  <c r="K31" i="82"/>
  <c r="K31" i="83"/>
  <c r="K31" i="84"/>
  <c r="K20" i="73"/>
  <c r="L21"/>
  <c r="M22"/>
  <c r="K13"/>
  <c r="L14"/>
  <c r="M15"/>
  <c r="K21"/>
  <c r="L22"/>
  <c r="M23"/>
  <c r="K14"/>
  <c r="L15"/>
  <c r="M16"/>
  <c r="M20"/>
  <c r="K22"/>
  <c r="L23"/>
  <c r="M13"/>
  <c r="K15"/>
  <c r="L16"/>
  <c r="K31" i="81"/>
  <c r="U31" s="1"/>
  <c r="K31" i="77"/>
  <c r="M21" i="73"/>
  <c r="K16"/>
  <c r="K23"/>
  <c r="L20"/>
  <c r="M14"/>
  <c r="L13"/>
  <c r="D16" i="42"/>
  <c r="F13"/>
  <c r="E16"/>
  <c r="K13"/>
  <c r="E13"/>
  <c r="L13"/>
  <c r="M13"/>
  <c r="D20"/>
  <c r="K39" i="84"/>
  <c r="N39" s="1"/>
  <c r="K39" i="83"/>
  <c r="N39" s="1"/>
  <c r="F16" i="52"/>
  <c r="F15"/>
  <c r="F13"/>
  <c r="E15"/>
  <c r="E13"/>
  <c r="D14"/>
  <c r="D13"/>
  <c r="F14"/>
  <c r="E16"/>
  <c r="E14"/>
  <c r="D15"/>
  <c r="F21"/>
  <c r="E22"/>
  <c r="E21"/>
  <c r="E20"/>
  <c r="D23"/>
  <c r="D21"/>
  <c r="K9" i="85"/>
  <c r="F20" i="52"/>
  <c r="D20"/>
  <c r="D16"/>
  <c r="F23"/>
  <c r="D22"/>
  <c r="E23"/>
  <c r="K9" i="84"/>
  <c r="N9" s="1"/>
  <c r="F22" i="52"/>
  <c r="M20"/>
  <c r="K22"/>
  <c r="L23"/>
  <c r="M13"/>
  <c r="K15"/>
  <c r="L16"/>
  <c r="K9" i="82"/>
  <c r="N9" s="1"/>
  <c r="L20" i="52"/>
  <c r="M21"/>
  <c r="K23"/>
  <c r="L13"/>
  <c r="M14"/>
  <c r="K16"/>
  <c r="K9" i="83"/>
  <c r="K9" i="81"/>
  <c r="T9" s="1"/>
  <c r="K20" i="52"/>
  <c r="L21"/>
  <c r="M22"/>
  <c r="K13"/>
  <c r="L14"/>
  <c r="M15"/>
  <c r="L22"/>
  <c r="M16"/>
  <c r="K9" i="77"/>
  <c r="K21" i="52"/>
  <c r="L15"/>
  <c r="K14"/>
  <c r="M23"/>
  <c r="N29" i="81"/>
  <c r="S29"/>
  <c r="P29"/>
  <c r="O29"/>
  <c r="U29"/>
  <c r="T29"/>
  <c r="O29" i="85"/>
  <c r="N29"/>
  <c r="U29"/>
  <c r="T29"/>
  <c r="U46" i="81"/>
  <c r="S46"/>
  <c r="O46"/>
  <c r="P46"/>
  <c r="N46"/>
  <c r="T46"/>
  <c r="S28" i="77"/>
  <c r="P28"/>
  <c r="T28"/>
  <c r="U28"/>
  <c r="N28"/>
  <c r="S25" i="85"/>
  <c r="P25" i="77"/>
  <c r="N25"/>
  <c r="P26" i="83"/>
  <c r="T26" i="84"/>
  <c r="U28" i="82"/>
  <c r="O28" i="81"/>
  <c r="N25" i="83"/>
  <c r="U25"/>
  <c r="P25"/>
  <c r="S25"/>
  <c r="U6" i="81"/>
  <c r="T25" i="82"/>
  <c r="N25"/>
  <c r="U25"/>
  <c r="P25"/>
  <c r="O25"/>
  <c r="N29"/>
  <c r="P46" i="85"/>
  <c r="S46"/>
  <c r="N46"/>
  <c r="U46"/>
  <c r="N28" i="83"/>
  <c r="U28"/>
  <c r="O28"/>
  <c r="T28"/>
  <c r="N25" i="84"/>
  <c r="T25"/>
  <c r="S25"/>
  <c r="P25"/>
  <c r="O25"/>
  <c r="U25"/>
  <c r="N25" i="81"/>
  <c r="U25"/>
  <c r="P25"/>
  <c r="O25"/>
  <c r="T25"/>
  <c r="S25"/>
  <c r="N46" i="84"/>
  <c r="T46"/>
  <c r="S46"/>
  <c r="P46"/>
  <c r="U46"/>
  <c r="O46"/>
  <c r="P46" i="77"/>
  <c r="N46"/>
  <c r="S46"/>
  <c r="U46"/>
  <c r="O46"/>
  <c r="T46"/>
  <c r="N28" i="84"/>
  <c r="O28"/>
  <c r="U28"/>
  <c r="T28"/>
  <c r="O9" i="82"/>
  <c r="U9"/>
  <c r="T4" i="81"/>
  <c r="P4"/>
  <c r="U4"/>
  <c r="S4"/>
  <c r="O4"/>
  <c r="N4"/>
  <c r="N23" i="85"/>
  <c r="O23"/>
  <c r="U23"/>
  <c r="S23"/>
  <c r="T23"/>
  <c r="S44" i="81"/>
  <c r="P44"/>
  <c r="O44"/>
  <c r="T44"/>
  <c r="S45" i="77"/>
  <c r="O45"/>
  <c r="P45"/>
  <c r="T45"/>
  <c r="T9"/>
  <c r="O9" i="85"/>
  <c r="T31" i="77"/>
  <c r="P31"/>
  <c r="S31"/>
  <c r="O31"/>
  <c r="U31"/>
  <c r="S31" i="84"/>
  <c r="O31"/>
  <c r="T31"/>
  <c r="P31"/>
  <c r="U31"/>
  <c r="N31"/>
  <c r="U4" i="77"/>
  <c r="N4"/>
  <c r="T4"/>
  <c r="S4"/>
  <c r="P4"/>
  <c r="O4"/>
  <c r="N4" i="83"/>
  <c r="U4"/>
  <c r="S4"/>
  <c r="P4"/>
  <c r="O4"/>
  <c r="T4"/>
  <c r="T24" i="82"/>
  <c r="P24"/>
  <c r="S24"/>
  <c r="O24"/>
  <c r="U24"/>
  <c r="N24"/>
  <c r="U24" i="84"/>
  <c r="O24"/>
  <c r="P24"/>
  <c r="T23" i="83"/>
  <c r="P23"/>
  <c r="S23"/>
  <c r="O23"/>
  <c r="N23"/>
  <c r="U23"/>
  <c r="N44" i="84"/>
  <c r="T44"/>
  <c r="S44"/>
  <c r="P44"/>
  <c r="U44"/>
  <c r="O44"/>
  <c r="U9"/>
  <c r="T9"/>
  <c r="O9"/>
  <c r="S9"/>
  <c r="T31" i="81"/>
  <c r="P31"/>
  <c r="S31"/>
  <c r="O31"/>
  <c r="N31"/>
  <c r="S39" i="83"/>
  <c r="T39"/>
  <c r="U39"/>
  <c r="S31" i="85"/>
  <c r="O31"/>
  <c r="U31"/>
  <c r="P31"/>
  <c r="T31"/>
  <c r="S4"/>
  <c r="O4"/>
  <c r="T4"/>
  <c r="P4"/>
  <c r="U4"/>
  <c r="N4"/>
  <c r="S4" i="82"/>
  <c r="O4"/>
  <c r="N4"/>
  <c r="T4"/>
  <c r="P4"/>
  <c r="U4"/>
  <c r="S23" i="81"/>
  <c r="O23"/>
  <c r="U23"/>
  <c r="T23"/>
  <c r="P23"/>
  <c r="N23"/>
  <c r="S44" i="83"/>
  <c r="O44"/>
  <c r="N44"/>
  <c r="P44"/>
  <c r="U44"/>
  <c r="T44"/>
  <c r="S45"/>
  <c r="O45"/>
  <c r="N45"/>
  <c r="P45"/>
  <c r="U45"/>
  <c r="T45"/>
  <c r="N45" i="84"/>
  <c r="U45"/>
  <c r="T45"/>
  <c r="O45"/>
  <c r="P45"/>
  <c r="S45"/>
  <c r="S9" i="81"/>
  <c r="O9"/>
  <c r="P9"/>
  <c r="N9"/>
  <c r="U9"/>
  <c r="S39" i="84"/>
  <c r="P39"/>
  <c r="O39"/>
  <c r="T39"/>
  <c r="U39"/>
  <c r="U31" i="83"/>
  <c r="T31"/>
  <c r="P31"/>
  <c r="S31"/>
  <c r="O31"/>
  <c r="N31"/>
  <c r="S9"/>
  <c r="O9"/>
  <c r="N9"/>
  <c r="T9"/>
  <c r="P9"/>
  <c r="U9"/>
  <c r="U31" i="82"/>
  <c r="T31"/>
  <c r="P31"/>
  <c r="N31"/>
  <c r="O31"/>
  <c r="S31"/>
  <c r="S32" i="81"/>
  <c r="N32"/>
  <c r="T32"/>
  <c r="S32" i="84"/>
  <c r="O32"/>
  <c r="N32"/>
  <c r="U32"/>
  <c r="P32"/>
  <c r="T32"/>
  <c r="N30" i="77"/>
  <c r="T30"/>
  <c r="O30"/>
  <c r="U30" i="83"/>
  <c r="T30"/>
  <c r="P30"/>
  <c r="S30"/>
  <c r="O30"/>
  <c r="N30"/>
  <c r="P4" i="84"/>
  <c r="N36" i="82"/>
  <c r="U36"/>
  <c r="O36"/>
  <c r="T36"/>
  <c r="S36"/>
  <c r="P36"/>
  <c r="S36" i="84"/>
  <c r="O36"/>
  <c r="N36"/>
  <c r="U36"/>
  <c r="P36"/>
  <c r="T36"/>
  <c r="T23" i="77"/>
  <c r="P23"/>
  <c r="S23"/>
  <c r="O23"/>
  <c r="N23"/>
  <c r="T23" i="82"/>
  <c r="P23"/>
  <c r="S23"/>
  <c r="O23"/>
  <c r="U23"/>
  <c r="N23"/>
  <c r="N23" i="84"/>
  <c r="T23"/>
  <c r="S23"/>
  <c r="P23"/>
  <c r="U23"/>
  <c r="O23"/>
  <c r="P44" i="77"/>
  <c r="U44"/>
  <c r="N44"/>
  <c r="U44" i="82"/>
  <c r="P44"/>
  <c r="O44"/>
  <c r="U44" i="85"/>
  <c r="P44"/>
  <c r="T44"/>
  <c r="T45" i="81"/>
  <c r="P45"/>
  <c r="S45"/>
  <c r="O45"/>
  <c r="N45"/>
  <c r="U45"/>
  <c r="U45" i="82"/>
  <c r="T45"/>
  <c r="P45"/>
  <c r="N45"/>
  <c r="S45"/>
  <c r="O45"/>
  <c r="U45" i="85"/>
  <c r="N45"/>
  <c r="T45"/>
  <c r="O45"/>
  <c r="P45"/>
  <c r="S45"/>
  <c r="E37" i="91"/>
  <c r="G27" i="92"/>
  <c r="E37" i="94"/>
  <c r="G27"/>
  <c r="D34" i="68"/>
  <c r="M14" s="1"/>
  <c r="E34" i="94"/>
  <c r="D34" i="43"/>
  <c r="K40" i="77" s="1"/>
  <c r="F15" i="58"/>
  <c r="E15"/>
  <c r="D14"/>
  <c r="F21"/>
  <c r="E21"/>
  <c r="D21"/>
  <c r="K23" i="68"/>
  <c r="K21"/>
  <c r="K22"/>
  <c r="K13"/>
  <c r="L13"/>
  <c r="D15"/>
  <c r="L23"/>
  <c r="L22"/>
  <c r="D14" i="66"/>
  <c r="K16" i="81"/>
  <c r="L20" i="66"/>
  <c r="K23"/>
  <c r="M14"/>
  <c r="D23"/>
  <c r="K16" i="82"/>
  <c r="O16" s="1"/>
  <c r="M22" i="66"/>
  <c r="D21"/>
  <c r="L22"/>
  <c r="M16"/>
  <c r="E21"/>
  <c r="D20"/>
  <c r="K16" i="85"/>
  <c r="K22" i="66"/>
  <c r="M13"/>
  <c r="L16"/>
  <c r="E20"/>
  <c r="K16" i="84"/>
  <c r="S16" s="1"/>
  <c r="L21" i="66"/>
  <c r="M15"/>
  <c r="K21"/>
  <c r="L15"/>
  <c r="E15"/>
  <c r="E13"/>
  <c r="M21"/>
  <c r="L13"/>
  <c r="K16"/>
  <c r="F13"/>
  <c r="D16"/>
  <c r="K20"/>
  <c r="L14"/>
  <c r="K14"/>
  <c r="F15"/>
  <c r="E22"/>
  <c r="M20"/>
  <c r="L23"/>
  <c r="K15"/>
  <c r="D22"/>
  <c r="K16" i="77"/>
  <c r="U16"/>
  <c r="K13" i="66"/>
  <c r="K16" i="83"/>
  <c r="N16" s="1"/>
  <c r="M23" i="66"/>
  <c r="L15" i="43"/>
  <c r="K40" i="81"/>
  <c r="K40" i="85"/>
  <c r="U40" s="1"/>
  <c r="K40" i="84"/>
  <c r="O40"/>
  <c r="K40" i="82"/>
  <c r="D13" i="43"/>
  <c r="E36" i="70"/>
  <c r="E36" i="86"/>
  <c r="E37" i="90"/>
  <c r="E36" i="93"/>
  <c r="E37" i="86"/>
  <c r="G27"/>
  <c r="E37" i="93"/>
  <c r="G27"/>
  <c r="D34" i="86"/>
  <c r="D34" i="87"/>
  <c r="E13" s="1"/>
  <c r="D34" i="88"/>
  <c r="D34" i="13"/>
  <c r="K51" i="82" s="1"/>
  <c r="D34" i="14"/>
  <c r="K52" i="84"/>
  <c r="O52" s="1"/>
  <c r="K47" i="77"/>
  <c r="K47" i="82"/>
  <c r="N47" s="1"/>
  <c r="K47" i="85"/>
  <c r="O47"/>
  <c r="K47" i="83"/>
  <c r="K47" i="84"/>
  <c r="N47" s="1"/>
  <c r="E37" i="95"/>
  <c r="E22" i="68"/>
  <c r="D21"/>
  <c r="F23"/>
  <c r="E16"/>
  <c r="F15"/>
  <c r="E20"/>
  <c r="D16"/>
  <c r="F21"/>
  <c r="D20"/>
  <c r="K40" i="83"/>
  <c r="D20" i="43"/>
  <c r="D21"/>
  <c r="L14"/>
  <c r="K20"/>
  <c r="M14"/>
  <c r="M15"/>
  <c r="F16"/>
  <c r="K16"/>
  <c r="F14"/>
  <c r="D23"/>
  <c r="F15"/>
  <c r="K22"/>
  <c r="K15"/>
  <c r="K23"/>
  <c r="D22"/>
  <c r="K21"/>
  <c r="D16"/>
  <c r="F13"/>
  <c r="E16"/>
  <c r="K13"/>
  <c r="E13"/>
  <c r="L13"/>
  <c r="M13"/>
  <c r="L16"/>
  <c r="D14"/>
  <c r="M16"/>
  <c r="E14"/>
  <c r="K14"/>
  <c r="D15"/>
  <c r="E15"/>
  <c r="K52" i="83"/>
  <c r="K52" i="85"/>
  <c r="K52" i="82"/>
  <c r="K52" i="77"/>
  <c r="E16" i="14"/>
  <c r="F22"/>
  <c r="D22"/>
  <c r="D16"/>
  <c r="D20"/>
  <c r="K16"/>
  <c r="K14"/>
  <c r="M13"/>
  <c r="K15"/>
  <c r="F14"/>
  <c r="F23"/>
  <c r="D23"/>
  <c r="D14"/>
  <c r="D21"/>
  <c r="M14"/>
  <c r="M23"/>
  <c r="K22"/>
  <c r="L23"/>
  <c r="F16"/>
  <c r="D15"/>
  <c r="E20"/>
  <c r="F13"/>
  <c r="E15"/>
  <c r="L13"/>
  <c r="L22"/>
  <c r="M16"/>
  <c r="M20"/>
  <c r="L14"/>
  <c r="E14"/>
  <c r="E21"/>
  <c r="D13"/>
  <c r="F15"/>
  <c r="K23"/>
  <c r="K21"/>
  <c r="L15"/>
  <c r="M15"/>
  <c r="K20"/>
  <c r="S47" i="85"/>
  <c r="U47"/>
  <c r="T47"/>
  <c r="K49"/>
  <c r="K49" i="81"/>
  <c r="E15" i="87"/>
  <c r="K16"/>
  <c r="E22"/>
  <c r="L13"/>
  <c r="L15"/>
  <c r="F21"/>
  <c r="K13"/>
  <c r="K15"/>
  <c r="E21"/>
  <c r="M23"/>
  <c r="D14"/>
  <c r="L16"/>
  <c r="F22"/>
  <c r="U40" i="84"/>
  <c r="T40"/>
  <c r="N40"/>
  <c r="P40"/>
  <c r="N16" i="77"/>
  <c r="S16"/>
  <c r="P16"/>
  <c r="O16"/>
  <c r="T16"/>
  <c r="K48" i="82"/>
  <c r="K48" i="85"/>
  <c r="K48" i="84"/>
  <c r="K48" i="77"/>
  <c r="O48" s="1"/>
  <c r="K48" i="83"/>
  <c r="F13" i="86"/>
  <c r="D14"/>
  <c r="L14"/>
  <c r="F15"/>
  <c r="D16"/>
  <c r="L16"/>
  <c r="F20"/>
  <c r="D21"/>
  <c r="L21"/>
  <c r="F22"/>
  <c r="D23"/>
  <c r="L23"/>
  <c r="K48" i="81"/>
  <c r="E13" i="86"/>
  <c r="M13"/>
  <c r="K14"/>
  <c r="E15"/>
  <c r="M15"/>
  <c r="K16"/>
  <c r="E20"/>
  <c r="M20"/>
  <c r="K21"/>
  <c r="E22"/>
  <c r="M22"/>
  <c r="K23"/>
  <c r="D13"/>
  <c r="L13"/>
  <c r="F14"/>
  <c r="D15"/>
  <c r="L15"/>
  <c r="F16"/>
  <c r="D20"/>
  <c r="L20"/>
  <c r="F21"/>
  <c r="D22"/>
  <c r="L22"/>
  <c r="F23"/>
  <c r="K13"/>
  <c r="E14"/>
  <c r="M14"/>
  <c r="K15"/>
  <c r="E16"/>
  <c r="M16"/>
  <c r="K20"/>
  <c r="E21"/>
  <c r="M21"/>
  <c r="K22"/>
  <c r="E23"/>
  <c r="M23"/>
  <c r="O40" i="83"/>
  <c r="S40"/>
  <c r="T40"/>
  <c r="N40"/>
  <c r="P40"/>
  <c r="U40"/>
  <c r="U16" i="82"/>
  <c r="S16"/>
  <c r="T16"/>
  <c r="K50" i="77"/>
  <c r="S50" s="1"/>
  <c r="L20" i="88"/>
  <c r="D22"/>
  <c r="M16"/>
  <c r="M21"/>
  <c r="D16"/>
  <c r="D21"/>
  <c r="E15"/>
  <c r="K16"/>
  <c r="U40" i="82"/>
  <c r="T40"/>
  <c r="O40"/>
  <c r="P40"/>
  <c r="N40"/>
  <c r="S40"/>
  <c r="U40" i="81"/>
  <c r="S40"/>
  <c r="N40"/>
  <c r="T40"/>
  <c r="O40"/>
  <c r="P40"/>
  <c r="P47" i="82"/>
  <c r="O47"/>
  <c r="S47"/>
  <c r="T16" i="84"/>
  <c r="U16"/>
  <c r="O16"/>
  <c r="O47" i="83"/>
  <c r="U47"/>
  <c r="N47"/>
  <c r="T47"/>
  <c r="P47"/>
  <c r="S47"/>
  <c r="U47" i="84"/>
  <c r="T47"/>
  <c r="P47"/>
  <c r="P47" i="77"/>
  <c r="U47"/>
  <c r="T47"/>
  <c r="N47"/>
  <c r="O47"/>
  <c r="S47"/>
  <c r="T51" i="82"/>
  <c r="E13" i="13"/>
  <c r="E22"/>
  <c r="K21"/>
  <c r="M21"/>
  <c r="M15"/>
  <c r="L14"/>
  <c r="E14"/>
  <c r="E23"/>
  <c r="D16"/>
  <c r="L20"/>
  <c r="K13"/>
  <c r="K20"/>
  <c r="E15"/>
  <c r="F20"/>
  <c r="D20"/>
  <c r="D13"/>
  <c r="L21"/>
  <c r="K15"/>
  <c r="E16"/>
  <c r="F21"/>
  <c r="D21"/>
  <c r="M16"/>
  <c r="K51" i="81"/>
  <c r="M22" i="13"/>
  <c r="M13"/>
  <c r="S40" i="85"/>
  <c r="N40"/>
  <c r="P40"/>
  <c r="O16" i="83"/>
  <c r="S16"/>
  <c r="T16"/>
  <c r="U16" i="85"/>
  <c r="T16"/>
  <c r="O16"/>
  <c r="N16"/>
  <c r="P16"/>
  <c r="S16"/>
  <c r="U16" i="81"/>
  <c r="P16"/>
  <c r="O16"/>
  <c r="S16"/>
  <c r="T16"/>
  <c r="N16"/>
  <c r="S51"/>
  <c r="P48" i="84"/>
  <c r="O48"/>
  <c r="N48"/>
  <c r="U52" i="77"/>
  <c r="O52"/>
  <c r="N52"/>
  <c r="T52" i="83"/>
  <c r="N52"/>
  <c r="S52"/>
  <c r="U52"/>
  <c r="P52"/>
  <c r="O52"/>
  <c r="S48" i="77"/>
  <c r="P48"/>
  <c r="U48"/>
  <c r="N48"/>
  <c r="T48"/>
  <c r="P52" i="85"/>
  <c r="U52"/>
  <c r="S51" i="82"/>
  <c r="U48" i="83"/>
  <c r="N48"/>
  <c r="T48"/>
  <c r="S48"/>
  <c r="P48"/>
  <c r="O48"/>
  <c r="S48" i="82"/>
  <c r="O52"/>
  <c r="T52"/>
  <c r="N52"/>
  <c r="S52"/>
  <c r="U52"/>
  <c r="P52"/>
  <c r="T50" i="77"/>
  <c r="N48" i="81"/>
  <c r="O48"/>
  <c r="U48"/>
  <c r="T48" i="85"/>
  <c r="P48"/>
  <c r="S48"/>
  <c r="O48"/>
  <c r="N48"/>
  <c r="U48"/>
  <c r="T49" i="81"/>
  <c r="N49"/>
  <c r="U49"/>
  <c r="U49" i="85"/>
  <c r="P49"/>
  <c r="O49"/>
  <c r="N52" i="84"/>
  <c r="O51" i="82"/>
  <c r="N47" i="85"/>
  <c r="L16" i="14"/>
  <c r="K52" i="81"/>
  <c r="U52" s="1"/>
  <c r="F21" i="14"/>
  <c r="M22"/>
  <c r="E13"/>
  <c r="F20"/>
  <c r="L21"/>
  <c r="L20"/>
  <c r="E23"/>
  <c r="K13"/>
  <c r="M21"/>
  <c r="E22"/>
  <c r="M15" i="68"/>
  <c r="M21"/>
  <c r="K20"/>
  <c r="T9" i="82"/>
  <c r="K28" i="85"/>
  <c r="T28" s="1"/>
  <c r="D21" i="50"/>
  <c r="D15"/>
  <c r="D15" i="32"/>
  <c r="D14"/>
  <c r="K37" i="85"/>
  <c r="E16" i="78"/>
  <c r="D22" i="58"/>
  <c r="F20"/>
  <c r="E14"/>
  <c r="D14" i="57"/>
  <c r="F14"/>
  <c r="E34" i="88"/>
  <c r="E37" i="92"/>
  <c r="N27" i="96"/>
  <c r="G27" i="87"/>
  <c r="E36" i="91"/>
  <c r="M14" i="95"/>
  <c r="M39" i="48"/>
  <c r="D34" i="6"/>
  <c r="K55" i="81"/>
  <c r="U51" i="82"/>
  <c r="T29" i="77"/>
  <c r="N29"/>
  <c r="O29"/>
  <c r="S29"/>
  <c r="P29"/>
  <c r="U29"/>
  <c r="E21" i="95"/>
  <c r="L13"/>
  <c r="D22"/>
  <c r="E13"/>
  <c r="E14"/>
  <c r="E23"/>
  <c r="L15"/>
  <c r="K61" i="77"/>
  <c r="L14" i="95"/>
  <c r="M20"/>
  <c r="F22"/>
  <c r="K61" i="83"/>
  <c r="F23" i="95"/>
  <c r="L16"/>
  <c r="E20"/>
  <c r="L21"/>
  <c r="F14"/>
  <c r="L22"/>
  <c r="D16"/>
  <c r="E22"/>
  <c r="K55" i="82"/>
  <c r="E16" i="6"/>
  <c r="M13"/>
  <c r="M22"/>
  <c r="F22"/>
  <c r="K21"/>
  <c r="L13"/>
  <c r="M16"/>
  <c r="K55" i="83"/>
  <c r="M15" i="6"/>
  <c r="E23"/>
  <c r="K13"/>
  <c r="L16"/>
  <c r="M14"/>
  <c r="D20"/>
  <c r="K55" i="85"/>
  <c r="T55"/>
  <c r="E22" i="6"/>
  <c r="L15"/>
  <c r="K15"/>
  <c r="K23"/>
  <c r="D15"/>
  <c r="E21"/>
  <c r="L23"/>
  <c r="K55" i="77"/>
  <c r="M23" i="6"/>
  <c r="L21"/>
  <c r="F21"/>
  <c r="E20"/>
  <c r="M21"/>
  <c r="E14"/>
  <c r="E15" i="74"/>
  <c r="D22"/>
  <c r="K33" i="83"/>
  <c r="L13" i="74"/>
  <c r="L14"/>
  <c r="F14"/>
  <c r="K21"/>
  <c r="D20"/>
  <c r="M14"/>
  <c r="K23"/>
  <c r="M15"/>
  <c r="E13"/>
  <c r="E16"/>
  <c r="E14"/>
  <c r="K16"/>
  <c r="F16"/>
  <c r="K33" i="82"/>
  <c r="M16" i="74"/>
  <c r="F15"/>
  <c r="D23"/>
  <c r="K33" i="85"/>
  <c r="D15" i="74"/>
  <c r="K13"/>
  <c r="K20"/>
  <c r="L16"/>
  <c r="K33" i="77"/>
  <c r="K15" i="74"/>
  <c r="M13"/>
  <c r="F13"/>
  <c r="D14"/>
  <c r="K22"/>
  <c r="L15"/>
  <c r="K14"/>
  <c r="K33" i="84"/>
  <c r="D21" i="74"/>
  <c r="D16"/>
  <c r="D13"/>
  <c r="K33" i="81"/>
  <c r="K56" i="83"/>
  <c r="K16" i="16"/>
  <c r="K15"/>
  <c r="E22"/>
  <c r="E14"/>
  <c r="K20"/>
  <c r="E15"/>
  <c r="L23"/>
  <c r="L22"/>
  <c r="E21"/>
  <c r="E16"/>
  <c r="K22"/>
  <c r="K21"/>
  <c r="K56" i="85"/>
  <c r="S56" s="1"/>
  <c r="L20" i="16"/>
  <c r="M16"/>
  <c r="E20"/>
  <c r="F14"/>
  <c r="M14"/>
  <c r="F15"/>
  <c r="D13"/>
  <c r="K14"/>
  <c r="D23"/>
  <c r="F16"/>
  <c r="D16"/>
  <c r="M22"/>
  <c r="E13"/>
  <c r="F23"/>
  <c r="L21"/>
  <c r="D22"/>
  <c r="F22"/>
  <c r="L13"/>
  <c r="L15"/>
  <c r="K56" i="84"/>
  <c r="U56" s="1"/>
  <c r="L14" i="16"/>
  <c r="D21"/>
  <c r="F21"/>
  <c r="K56" i="82"/>
  <c r="K23" i="16"/>
  <c r="F13"/>
  <c r="K56" i="77"/>
  <c r="M21" i="16"/>
  <c r="D20"/>
  <c r="F20"/>
  <c r="K56" i="81"/>
  <c r="M15" i="16"/>
  <c r="D14"/>
  <c r="K13"/>
  <c r="M20"/>
  <c r="E23"/>
  <c r="D15"/>
  <c r="M13"/>
  <c r="L16"/>
  <c r="E16" i="32"/>
  <c r="E13"/>
  <c r="D16" i="58"/>
  <c r="E20"/>
  <c r="F22"/>
  <c r="E13"/>
  <c r="L39" i="34"/>
  <c r="N27" i="87"/>
  <c r="E34"/>
  <c r="N27" i="91"/>
  <c r="E34" i="96"/>
  <c r="G27" i="97"/>
  <c r="L39" i="33"/>
  <c r="D34" i="93"/>
  <c r="K15" s="1"/>
  <c r="L39" i="65"/>
  <c r="L39" i="69"/>
  <c r="D34" i="55"/>
  <c r="M20" s="1"/>
  <c r="N27" i="90"/>
  <c r="N27" i="92"/>
  <c r="N27" i="94"/>
  <c r="N27" i="95"/>
  <c r="G27" i="96"/>
  <c r="D34" i="94"/>
  <c r="F16" s="1"/>
  <c r="D34" i="92"/>
  <c r="K14" s="1"/>
  <c r="L14" i="88"/>
  <c r="K20"/>
  <c r="L21" i="87"/>
  <c r="K22"/>
  <c r="F23"/>
  <c r="D13"/>
  <c r="M13"/>
  <c r="P47" i="85"/>
  <c r="O55"/>
  <c r="K49" i="83"/>
  <c r="E20" i="87"/>
  <c r="F14"/>
  <c r="L22"/>
  <c r="K20"/>
  <c r="L14"/>
  <c r="D23"/>
  <c r="K7" i="85"/>
  <c r="P7" s="1"/>
  <c r="L21" i="49"/>
  <c r="M22"/>
  <c r="K14"/>
  <c r="L15"/>
  <c r="M16"/>
  <c r="D20"/>
  <c r="E14"/>
  <c r="F21"/>
  <c r="E21"/>
  <c r="D21"/>
  <c r="E13"/>
  <c r="K7" i="83"/>
  <c r="S7" s="1"/>
  <c r="K7" i="84"/>
  <c r="K7" i="77"/>
  <c r="K21" i="49"/>
  <c r="L22"/>
  <c r="M23"/>
  <c r="K15"/>
  <c r="L16"/>
  <c r="F16"/>
  <c r="E16"/>
  <c r="F22"/>
  <c r="E22"/>
  <c r="D22"/>
  <c r="E15"/>
  <c r="L13"/>
  <c r="L20"/>
  <c r="K22"/>
  <c r="L23"/>
  <c r="M14"/>
  <c r="K16"/>
  <c r="M20"/>
  <c r="K7" i="82"/>
  <c r="F14" i="49"/>
  <c r="F23"/>
  <c r="E23"/>
  <c r="D23"/>
  <c r="F13"/>
  <c r="D13"/>
  <c r="K7" i="81"/>
  <c r="U7" s="1"/>
  <c r="K13" i="49"/>
  <c r="K20"/>
  <c r="M21"/>
  <c r="K23"/>
  <c r="L14"/>
  <c r="M15"/>
  <c r="M13"/>
  <c r="D16"/>
  <c r="D15"/>
  <c r="F20"/>
  <c r="E20"/>
  <c r="F15"/>
  <c r="D14"/>
  <c r="S40" i="84"/>
  <c r="K14" i="6"/>
  <c r="F20"/>
  <c r="E15"/>
  <c r="K22"/>
  <c r="D23"/>
  <c r="E13"/>
  <c r="K20"/>
  <c r="D16"/>
  <c r="D14"/>
  <c r="M20"/>
  <c r="F23"/>
  <c r="F14"/>
  <c r="P56" i="77"/>
  <c r="E21" i="68"/>
  <c r="K19" i="84"/>
  <c r="D14" i="68"/>
  <c r="D23"/>
  <c r="F14"/>
  <c r="F22"/>
  <c r="K55" i="84"/>
  <c r="L21" i="68"/>
  <c r="K19" i="82"/>
  <c r="K16" i="68"/>
  <c r="K19" i="83"/>
  <c r="M13" i="68"/>
  <c r="L14"/>
  <c r="P9" i="84"/>
  <c r="U9" i="77"/>
  <c r="L20" i="9"/>
  <c r="M21"/>
  <c r="K23"/>
  <c r="L13"/>
  <c r="M14"/>
  <c r="K16"/>
  <c r="D16"/>
  <c r="D23"/>
  <c r="E23"/>
  <c r="F16"/>
  <c r="E16"/>
  <c r="D15"/>
  <c r="K20"/>
  <c r="L21"/>
  <c r="M22"/>
  <c r="K13"/>
  <c r="L14"/>
  <c r="M15"/>
  <c r="K47" i="81"/>
  <c r="T47" s="1"/>
  <c r="D22" i="9"/>
  <c r="E22"/>
  <c r="F22"/>
  <c r="F13"/>
  <c r="E13"/>
  <c r="K21"/>
  <c r="L22"/>
  <c r="M23"/>
  <c r="K14"/>
  <c r="L15"/>
  <c r="M16"/>
  <c r="F23"/>
  <c r="D21"/>
  <c r="E21"/>
  <c r="F21"/>
  <c r="F14"/>
  <c r="E14"/>
  <c r="D13"/>
  <c r="M20"/>
  <c r="K22"/>
  <c r="L23"/>
  <c r="M13"/>
  <c r="K15"/>
  <c r="L16"/>
  <c r="D20"/>
  <c r="E20"/>
  <c r="F20"/>
  <c r="F15"/>
  <c r="E15"/>
  <c r="D14"/>
  <c r="E14" i="93"/>
  <c r="K20"/>
  <c r="F13"/>
  <c r="L16"/>
  <c r="D23"/>
  <c r="M15"/>
  <c r="E22"/>
  <c r="F14"/>
  <c r="F21"/>
  <c r="F23" i="66"/>
  <c r="E23"/>
  <c r="E14"/>
  <c r="F20"/>
  <c r="E16"/>
  <c r="F21"/>
  <c r="F14"/>
  <c r="D13"/>
  <c r="F22"/>
  <c r="F16"/>
  <c r="D15"/>
  <c r="M13" i="63"/>
  <c r="K15"/>
  <c r="L16"/>
  <c r="F16"/>
  <c r="E13"/>
  <c r="K3" i="83"/>
  <c r="K3" i="84"/>
  <c r="F14" i="63"/>
  <c r="L13"/>
  <c r="M14"/>
  <c r="K16"/>
  <c r="E15"/>
  <c r="D15"/>
  <c r="E16"/>
  <c r="K3" i="85"/>
  <c r="K13" i="63"/>
  <c r="L14"/>
  <c r="M15"/>
  <c r="F13"/>
  <c r="D13"/>
  <c r="K3" i="81"/>
  <c r="S3" s="1"/>
  <c r="D16" i="63"/>
  <c r="K14"/>
  <c r="L15"/>
  <c r="M16"/>
  <c r="F15"/>
  <c r="D14"/>
  <c r="K3" i="77"/>
  <c r="K3" i="82"/>
  <c r="N3" s="1"/>
  <c r="E14" i="63"/>
  <c r="L23" i="55"/>
  <c r="K18" i="85"/>
  <c r="T18" s="1"/>
  <c r="E22" i="55"/>
  <c r="M14"/>
  <c r="F13"/>
  <c r="D16"/>
  <c r="L14"/>
  <c r="F14"/>
  <c r="E20"/>
  <c r="L15"/>
  <c r="E15"/>
  <c r="E14" i="94"/>
  <c r="F15"/>
  <c r="L20"/>
  <c r="M21"/>
  <c r="M22"/>
  <c r="D13"/>
  <c r="L13"/>
  <c r="D15"/>
  <c r="F20"/>
  <c r="L21"/>
  <c r="L22"/>
  <c r="K13"/>
  <c r="L14"/>
  <c r="D16"/>
  <c r="E21"/>
  <c r="K22"/>
  <c r="F23"/>
  <c r="F14"/>
  <c r="K15"/>
  <c r="M16"/>
  <c r="D22"/>
  <c r="E23"/>
  <c r="E15" i="92"/>
  <c r="M20"/>
  <c r="K23"/>
  <c r="D15"/>
  <c r="L20"/>
  <c r="F23"/>
  <c r="K15"/>
  <c r="E21"/>
  <c r="M23"/>
  <c r="F15"/>
  <c r="D21"/>
  <c r="L23"/>
  <c r="N27" i="97"/>
  <c r="E34"/>
  <c r="D14" i="78"/>
  <c r="E34" i="61"/>
  <c r="E34" i="90"/>
  <c r="E34" i="91"/>
  <c r="E36" i="92"/>
  <c r="E34" i="95"/>
  <c r="O55" i="81"/>
  <c r="T55"/>
  <c r="N28" i="85"/>
  <c r="P28"/>
  <c r="D21" i="94"/>
  <c r="F13"/>
  <c r="D20"/>
  <c r="K23"/>
  <c r="E16"/>
  <c r="M23"/>
  <c r="L22" i="6"/>
  <c r="L20"/>
  <c r="F13"/>
  <c r="L14"/>
  <c r="F15"/>
  <c r="K16"/>
  <c r="D13"/>
  <c r="D21"/>
  <c r="F16"/>
  <c r="D22"/>
  <c r="K16" i="95"/>
  <c r="K61" i="85"/>
  <c r="P61" s="1"/>
  <c r="K20" i="95"/>
  <c r="M22"/>
  <c r="D14"/>
  <c r="D15"/>
  <c r="M16"/>
  <c r="F20"/>
  <c r="F21"/>
  <c r="K22"/>
  <c r="M15"/>
  <c r="K13"/>
  <c r="M21"/>
  <c r="U37" i="85"/>
  <c r="P37"/>
  <c r="S37"/>
  <c r="O37"/>
  <c r="N37"/>
  <c r="T37"/>
  <c r="N52" i="81"/>
  <c r="O52"/>
  <c r="F22" i="94"/>
  <c r="L15"/>
  <c r="E13"/>
  <c r="M15"/>
  <c r="K21"/>
  <c r="K60" i="84"/>
  <c r="D23" i="94"/>
  <c r="L16"/>
  <c r="K60" i="83"/>
  <c r="E15" i="94"/>
  <c r="M20"/>
  <c r="K60" i="81"/>
  <c r="T60" s="1"/>
  <c r="L23" i="94"/>
  <c r="K20"/>
  <c r="D14"/>
  <c r="K60" i="85"/>
  <c r="P60" s="1"/>
  <c r="K14" i="94"/>
  <c r="E20"/>
  <c r="K60" i="82"/>
  <c r="F21" i="94"/>
  <c r="M14"/>
  <c r="M13"/>
  <c r="K16"/>
  <c r="E22"/>
  <c r="K60" i="77"/>
  <c r="S33" i="83"/>
  <c r="T33"/>
  <c r="P33"/>
  <c r="N33"/>
  <c r="U33"/>
  <c r="O33"/>
  <c r="S61" i="77"/>
  <c r="P61"/>
  <c r="N61"/>
  <c r="O61"/>
  <c r="F23" i="93"/>
  <c r="M20"/>
  <c r="F15"/>
  <c r="U55" i="77"/>
  <c r="S55"/>
  <c r="O55"/>
  <c r="P55"/>
  <c r="T55"/>
  <c r="N55"/>
  <c r="P55" i="83"/>
  <c r="N55"/>
  <c r="T55"/>
  <c r="U55"/>
  <c r="S55"/>
  <c r="O55"/>
  <c r="O61"/>
  <c r="S61"/>
  <c r="T61"/>
  <c r="N61"/>
  <c r="U61"/>
  <c r="P61"/>
  <c r="K58" i="82"/>
  <c r="K58" i="77"/>
  <c r="K59" i="82"/>
  <c r="M14" i="69"/>
  <c r="K20" i="84"/>
  <c r="M16" i="69"/>
  <c r="M13"/>
  <c r="K20" i="83"/>
  <c r="D16" i="69"/>
  <c r="M15"/>
  <c r="K15"/>
  <c r="K20"/>
  <c r="E21"/>
  <c r="K14"/>
  <c r="E22"/>
  <c r="K22"/>
  <c r="K16"/>
  <c r="D23"/>
  <c r="L15"/>
  <c r="L21"/>
  <c r="L23"/>
  <c r="D20"/>
  <c r="L22"/>
  <c r="K23"/>
  <c r="D21"/>
  <c r="M21"/>
  <c r="E20"/>
  <c r="M23"/>
  <c r="K20" i="82"/>
  <c r="M20" i="69"/>
  <c r="L13"/>
  <c r="T56" i="81"/>
  <c r="S56"/>
  <c r="P56"/>
  <c r="U56"/>
  <c r="T56" i="77"/>
  <c r="U56"/>
  <c r="O56"/>
  <c r="S56"/>
  <c r="N56"/>
  <c r="T56" i="83"/>
  <c r="O56"/>
  <c r="U56"/>
  <c r="P56"/>
  <c r="N56"/>
  <c r="S56"/>
  <c r="U33" i="85"/>
  <c r="S33"/>
  <c r="O33"/>
  <c r="P33"/>
  <c r="N33"/>
  <c r="T33"/>
  <c r="O33" i="82"/>
  <c r="T33"/>
  <c r="N33"/>
  <c r="U33"/>
  <c r="P33"/>
  <c r="S33"/>
  <c r="U55" i="81"/>
  <c r="N55"/>
  <c r="S55"/>
  <c r="P55"/>
  <c r="N61" i="85"/>
  <c r="U61"/>
  <c r="T61"/>
  <c r="S56" i="82"/>
  <c r="O56"/>
  <c r="P56"/>
  <c r="T56"/>
  <c r="U56"/>
  <c r="N56"/>
  <c r="T56" i="84"/>
  <c r="N56" i="85"/>
  <c r="N33" i="81"/>
  <c r="U33"/>
  <c r="T33"/>
  <c r="P33"/>
  <c r="S33"/>
  <c r="O33"/>
  <c r="S33" i="84"/>
  <c r="U33"/>
  <c r="N33"/>
  <c r="P33"/>
  <c r="T33"/>
  <c r="O33"/>
  <c r="T33" i="77"/>
  <c r="P33"/>
  <c r="O33"/>
  <c r="N33"/>
  <c r="U33"/>
  <c r="S33"/>
  <c r="P55" i="85"/>
  <c r="S55"/>
  <c r="N55"/>
  <c r="U55"/>
  <c r="T55" i="82"/>
  <c r="N55"/>
  <c r="U55"/>
  <c r="O55"/>
  <c r="S55"/>
  <c r="P55"/>
  <c r="N18" i="85"/>
  <c r="U3" i="81"/>
  <c r="T3"/>
  <c r="F13" i="79"/>
  <c r="E23"/>
  <c r="D23"/>
  <c r="K35" i="85"/>
  <c r="D21" i="79"/>
  <c r="E14"/>
  <c r="F15"/>
  <c r="D14"/>
  <c r="E20"/>
  <c r="D13"/>
  <c r="E16"/>
  <c r="F14"/>
  <c r="E13"/>
  <c r="E21"/>
  <c r="F16"/>
  <c r="K35" i="82"/>
  <c r="K35" i="81"/>
  <c r="S35" s="1"/>
  <c r="K35" i="77"/>
  <c r="P35" s="1"/>
  <c r="E15" i="79"/>
  <c r="E22"/>
  <c r="D22"/>
  <c r="K35" i="84"/>
  <c r="N35" s="1"/>
  <c r="D20" i="79"/>
  <c r="D16"/>
  <c r="M14"/>
  <c r="L16"/>
  <c r="D15"/>
  <c r="K35" i="83"/>
  <c r="L20" i="79"/>
  <c r="M16"/>
  <c r="M13"/>
  <c r="M15"/>
  <c r="K23"/>
  <c r="K15"/>
  <c r="K14"/>
  <c r="L22"/>
  <c r="K20"/>
  <c r="L15"/>
  <c r="L23"/>
  <c r="K13"/>
  <c r="K21"/>
  <c r="L21"/>
  <c r="L13"/>
  <c r="K22"/>
  <c r="L14"/>
  <c r="K16"/>
  <c r="L16" i="36"/>
  <c r="D14"/>
  <c r="M16"/>
  <c r="E14"/>
  <c r="K14"/>
  <c r="D15"/>
  <c r="E15"/>
  <c r="L15"/>
  <c r="D13"/>
  <c r="D21"/>
  <c r="D23"/>
  <c r="F13"/>
  <c r="K15"/>
  <c r="M15"/>
  <c r="L13"/>
  <c r="F14"/>
  <c r="K42" i="84"/>
  <c r="N42" s="1"/>
  <c r="L14" i="36"/>
  <c r="E16"/>
  <c r="K23"/>
  <c r="F16"/>
  <c r="M13"/>
  <c r="K42" i="82"/>
  <c r="N42" s="1"/>
  <c r="K42" i="83"/>
  <c r="U42" s="1"/>
  <c r="F15" i="36"/>
  <c r="K20"/>
  <c r="K13"/>
  <c r="D22"/>
  <c r="K16"/>
  <c r="D20"/>
  <c r="K42" i="77"/>
  <c r="P42" s="1"/>
  <c r="D16" i="36"/>
  <c r="K22"/>
  <c r="M14"/>
  <c r="E13"/>
  <c r="K21"/>
  <c r="K42" i="85"/>
  <c r="K42" i="81"/>
  <c r="S3" i="83"/>
  <c r="T3"/>
  <c r="U3"/>
  <c r="O3"/>
  <c r="N3"/>
  <c r="P3"/>
  <c r="M21" i="71"/>
  <c r="E16"/>
  <c r="F22"/>
  <c r="E22"/>
  <c r="D22"/>
  <c r="D14"/>
  <c r="F14"/>
  <c r="F23"/>
  <c r="E23"/>
  <c r="D23"/>
  <c r="M13"/>
  <c r="F16"/>
  <c r="D15"/>
  <c r="F20"/>
  <c r="E20"/>
  <c r="K16"/>
  <c r="E14"/>
  <c r="F21"/>
  <c r="E21"/>
  <c r="D13"/>
  <c r="K27" i="85"/>
  <c r="N27" s="1"/>
  <c r="L14" i="71"/>
  <c r="L13"/>
  <c r="K14"/>
  <c r="D16"/>
  <c r="K27" i="82"/>
  <c r="U27" s="1"/>
  <c r="D21" i="71"/>
  <c r="L15"/>
  <c r="M14"/>
  <c r="K27" i="84"/>
  <c r="N27" s="1"/>
  <c r="M22" i="71"/>
  <c r="K27" i="81"/>
  <c r="L22" i="71"/>
  <c r="K15"/>
  <c r="D20"/>
  <c r="M15"/>
  <c r="M23"/>
  <c r="L20"/>
  <c r="K20"/>
  <c r="L16"/>
  <c r="E13"/>
  <c r="M20"/>
  <c r="F15"/>
  <c r="K13"/>
  <c r="K21"/>
  <c r="E15"/>
  <c r="K27" i="83"/>
  <c r="K22" i="71"/>
  <c r="F13"/>
  <c r="M16"/>
  <c r="K23"/>
  <c r="L21"/>
  <c r="K27" i="77"/>
  <c r="O27" s="1"/>
  <c r="L23" i="71"/>
  <c r="P19" i="83"/>
  <c r="N19"/>
  <c r="S19"/>
  <c r="T19"/>
  <c r="U19"/>
  <c r="O19"/>
  <c r="P55" i="84"/>
  <c r="N55"/>
  <c r="T55"/>
  <c r="O55"/>
  <c r="U55"/>
  <c r="S55"/>
  <c r="O7" i="81"/>
  <c r="P7"/>
  <c r="T7" i="83"/>
  <c r="N7" i="85"/>
  <c r="U7"/>
  <c r="D23" i="35"/>
  <c r="F15"/>
  <c r="K22"/>
  <c r="K15"/>
  <c r="K23"/>
  <c r="D21"/>
  <c r="D14"/>
  <c r="E16"/>
  <c r="M15"/>
  <c r="F16"/>
  <c r="K16"/>
  <c r="K41" i="85"/>
  <c r="K41" i="82"/>
  <c r="N41" s="1"/>
  <c r="K41" i="81"/>
  <c r="T41" s="1"/>
  <c r="L14" i="35"/>
  <c r="M16"/>
  <c r="K13"/>
  <c r="D22"/>
  <c r="K21"/>
  <c r="F14"/>
  <c r="K41" i="84"/>
  <c r="U41" s="1"/>
  <c r="K41" i="83"/>
  <c r="P41" s="1"/>
  <c r="D16" i="35"/>
  <c r="K20"/>
  <c r="E14"/>
  <c r="E13"/>
  <c r="L13"/>
  <c r="M13"/>
  <c r="D20"/>
  <c r="D13"/>
  <c r="L16"/>
  <c r="F13"/>
  <c r="M14"/>
  <c r="K14"/>
  <c r="D15"/>
  <c r="E15"/>
  <c r="L15"/>
  <c r="K41" i="77"/>
  <c r="O41" s="1"/>
  <c r="S3" i="85"/>
  <c r="P3"/>
  <c r="N3"/>
  <c r="O3"/>
  <c r="T3"/>
  <c r="U3"/>
  <c r="N3" i="84"/>
  <c r="S3"/>
  <c r="U3"/>
  <c r="P3"/>
  <c r="O3"/>
  <c r="T3"/>
  <c r="N7" i="82"/>
  <c r="O7"/>
  <c r="T7"/>
  <c r="U7"/>
  <c r="S7"/>
  <c r="P7"/>
  <c r="O7" i="84"/>
  <c r="P7"/>
  <c r="S7"/>
  <c r="U7"/>
  <c r="N7"/>
  <c r="T7"/>
  <c r="O3" i="77"/>
  <c r="P3"/>
  <c r="S3"/>
  <c r="T3"/>
  <c r="U3"/>
  <c r="N3"/>
  <c r="O47" i="81"/>
  <c r="S47"/>
  <c r="P19" i="82"/>
  <c r="U19"/>
  <c r="S19"/>
  <c r="N19"/>
  <c r="T19"/>
  <c r="O19"/>
  <c r="N19" i="84"/>
  <c r="U19"/>
  <c r="O19"/>
  <c r="S19"/>
  <c r="T19"/>
  <c r="P19"/>
  <c r="U7" i="77"/>
  <c r="O7"/>
  <c r="S7"/>
  <c r="P7"/>
  <c r="N7"/>
  <c r="T7"/>
  <c r="T49" i="83"/>
  <c r="P49"/>
  <c r="U49"/>
  <c r="S49"/>
  <c r="N49"/>
  <c r="O49"/>
  <c r="O3" i="82"/>
  <c r="T60" i="77"/>
  <c r="O60"/>
  <c r="S60"/>
  <c r="P60"/>
  <c r="U60"/>
  <c r="N60"/>
  <c r="T60" i="83"/>
  <c r="O60"/>
  <c r="P60"/>
  <c r="U60"/>
  <c r="N60"/>
  <c r="S60"/>
  <c r="P20"/>
  <c r="U20"/>
  <c r="N20"/>
  <c r="T20"/>
  <c r="O20"/>
  <c r="S20"/>
  <c r="S20" i="84"/>
  <c r="U20"/>
  <c r="P20"/>
  <c r="O20"/>
  <c r="T20"/>
  <c r="N20"/>
  <c r="T60"/>
  <c r="O60"/>
  <c r="P60"/>
  <c r="S60"/>
  <c r="N60"/>
  <c r="U60"/>
  <c r="O60" i="82"/>
  <c r="P60"/>
  <c r="S60"/>
  <c r="T60"/>
  <c r="U60"/>
  <c r="N60"/>
  <c r="U20"/>
  <c r="P59"/>
  <c r="S59"/>
  <c r="O58" i="77"/>
  <c r="P58" i="82"/>
  <c r="O58"/>
  <c r="N60" i="85"/>
  <c r="O60" i="81"/>
  <c r="U60"/>
  <c r="T27"/>
  <c r="S27"/>
  <c r="U27"/>
  <c r="N27"/>
  <c r="O27"/>
  <c r="P27"/>
  <c r="S35" i="84"/>
  <c r="P35"/>
  <c r="U35"/>
  <c r="T35"/>
  <c r="N35" i="77"/>
  <c r="O35"/>
  <c r="T35"/>
  <c r="U35"/>
  <c r="S35"/>
  <c r="O41" i="84"/>
  <c r="T41"/>
  <c r="P41"/>
  <c r="N41"/>
  <c r="S41"/>
  <c r="P41" i="82"/>
  <c r="T41"/>
  <c r="S41"/>
  <c r="O41"/>
  <c r="T27" i="77"/>
  <c r="U27"/>
  <c r="S27"/>
  <c r="N27"/>
  <c r="P27"/>
  <c r="T27" i="85"/>
  <c r="S27"/>
  <c r="P27"/>
  <c r="O27"/>
  <c r="N42" i="77"/>
  <c r="U42"/>
  <c r="O42"/>
  <c r="S42"/>
  <c r="T42"/>
  <c r="P42" i="82"/>
  <c r="T42"/>
  <c r="S42"/>
  <c r="O42"/>
  <c r="U41" i="77"/>
  <c r="P41"/>
  <c r="T41"/>
  <c r="S41"/>
  <c r="N41"/>
  <c r="N41" i="83"/>
  <c r="O41"/>
  <c r="T41"/>
  <c r="U41"/>
  <c r="P41" i="81"/>
  <c r="N41"/>
  <c r="O41"/>
  <c r="S41"/>
  <c r="U41"/>
  <c r="U27" i="84"/>
  <c r="O27"/>
  <c r="P27"/>
  <c r="T27"/>
  <c r="N27" i="82"/>
  <c r="O27"/>
  <c r="P27"/>
  <c r="T27"/>
  <c r="S27"/>
  <c r="N42" i="83"/>
  <c r="O42"/>
  <c r="P42"/>
  <c r="T42"/>
  <c r="O35"/>
  <c r="P35"/>
  <c r="T35"/>
  <c r="N35"/>
  <c r="U35"/>
  <c r="S35"/>
  <c r="T35" i="82"/>
  <c r="U35"/>
  <c r="S35"/>
  <c r="P35"/>
  <c r="N35"/>
  <c r="O35"/>
  <c r="O35" i="85"/>
  <c r="T35"/>
  <c r="P35"/>
  <c r="U35"/>
  <c r="N35"/>
  <c r="S35"/>
  <c r="O27" i="83"/>
  <c r="O42" i="85"/>
  <c r="U42"/>
  <c r="S41"/>
  <c r="N41"/>
  <c r="U41"/>
  <c r="T41"/>
  <c r="O41"/>
  <c r="P41"/>
  <c r="U42" i="81"/>
  <c r="N42"/>
  <c r="O42"/>
  <c r="P42"/>
  <c r="S42"/>
  <c r="T42"/>
  <c r="E36" i="97" l="1"/>
  <c r="F22" i="69"/>
  <c r="D13"/>
  <c r="E13"/>
  <c r="E14"/>
  <c r="E23"/>
  <c r="K21"/>
  <c r="L14"/>
  <c r="E15"/>
  <c r="F23"/>
  <c r="F20"/>
  <c r="E16"/>
  <c r="K20" i="77"/>
  <c r="P20" s="1"/>
  <c r="M22" i="69"/>
  <c r="K20" i="85"/>
  <c r="K13" i="69"/>
  <c r="L20"/>
  <c r="F13"/>
  <c r="D14"/>
  <c r="F14"/>
  <c r="L16"/>
  <c r="K20" i="81"/>
  <c r="D15" i="69"/>
  <c r="F16"/>
  <c r="F15"/>
  <c r="F21"/>
  <c r="D22"/>
  <c r="D22" i="65"/>
  <c r="L22"/>
  <c r="M22"/>
  <c r="F20"/>
  <c r="L15"/>
  <c r="L21"/>
  <c r="E20"/>
  <c r="E13"/>
  <c r="K15"/>
  <c r="K13"/>
  <c r="E16"/>
  <c r="M23"/>
  <c r="L14"/>
  <c r="D14"/>
  <c r="F13"/>
  <c r="E22"/>
  <c r="K23"/>
  <c r="F16"/>
  <c r="K21"/>
  <c r="K20"/>
  <c r="D15"/>
  <c r="F14"/>
  <c r="M20"/>
  <c r="M21"/>
  <c r="E15"/>
  <c r="K10" i="85"/>
  <c r="M14" i="65"/>
  <c r="D21"/>
  <c r="L23"/>
  <c r="K16"/>
  <c r="F22"/>
  <c r="L20"/>
  <c r="M15"/>
  <c r="D23"/>
  <c r="K14"/>
  <c r="L16"/>
  <c r="D20"/>
  <c r="E14"/>
  <c r="M13"/>
  <c r="D13"/>
  <c r="F23"/>
  <c r="K10" i="84"/>
  <c r="K10" i="81"/>
  <c r="E23" i="65"/>
  <c r="K22"/>
  <c r="L13"/>
  <c r="F15"/>
  <c r="K10" i="83"/>
  <c r="M16" i="65"/>
  <c r="F21"/>
  <c r="D16"/>
  <c r="K10" i="82"/>
  <c r="K10" i="77"/>
  <c r="E21" i="65"/>
  <c r="S42" i="83"/>
  <c r="S27" i="84"/>
  <c r="S41" i="83"/>
  <c r="U42" i="82"/>
  <c r="U27" i="85"/>
  <c r="U41" i="82"/>
  <c r="O35" i="84"/>
  <c r="D34" i="56"/>
  <c r="D34" i="90"/>
  <c r="D34" i="91"/>
  <c r="S40" i="77"/>
  <c r="N40"/>
  <c r="T40"/>
  <c r="P40"/>
  <c r="L16" i="37"/>
  <c r="K14"/>
  <c r="K43" i="83"/>
  <c r="M14" i="37"/>
  <c r="L15"/>
  <c r="F15"/>
  <c r="D22"/>
  <c r="K43" i="85"/>
  <c r="K13" i="37"/>
  <c r="D13"/>
  <c r="E14"/>
  <c r="K43" i="82"/>
  <c r="K20" i="37"/>
  <c r="K16"/>
  <c r="D23"/>
  <c r="K23"/>
  <c r="F14"/>
  <c r="E16"/>
  <c r="M13"/>
  <c r="M16"/>
  <c r="E15"/>
  <c r="L14"/>
  <c r="F16"/>
  <c r="K43" i="81"/>
  <c r="K15" i="37"/>
  <c r="D20"/>
  <c r="F13"/>
  <c r="L13"/>
  <c r="D14"/>
  <c r="D15"/>
  <c r="D21"/>
  <c r="M15"/>
  <c r="K43" i="84"/>
  <c r="K22" i="37"/>
  <c r="K21"/>
  <c r="D16"/>
  <c r="E13"/>
  <c r="K43" i="77"/>
  <c r="E16" i="67"/>
  <c r="D23"/>
  <c r="L22"/>
  <c r="M21"/>
  <c r="E13"/>
  <c r="E22"/>
  <c r="K17" i="81"/>
  <c r="D15" i="67"/>
  <c r="D20"/>
  <c r="K14"/>
  <c r="L20"/>
  <c r="F16"/>
  <c r="M15"/>
  <c r="L16"/>
  <c r="K17" i="85"/>
  <c r="L14" i="67"/>
  <c r="K15"/>
  <c r="D13"/>
  <c r="E23"/>
  <c r="L15"/>
  <c r="M14"/>
  <c r="F23"/>
  <c r="K17" i="82"/>
  <c r="K23" i="67"/>
  <c r="F20"/>
  <c r="L21"/>
  <c r="K22"/>
  <c r="D14"/>
  <c r="K20"/>
  <c r="M20"/>
  <c r="F14"/>
  <c r="F22"/>
  <c r="K21"/>
  <c r="K17" i="77"/>
  <c r="D22" i="67"/>
  <c r="M22"/>
  <c r="L23"/>
  <c r="F13"/>
  <c r="E20"/>
  <c r="E21"/>
  <c r="F15"/>
  <c r="F21"/>
  <c r="M16"/>
  <c r="L13"/>
  <c r="K17" i="84"/>
  <c r="K13" i="67"/>
  <c r="M13"/>
  <c r="E15"/>
  <c r="D16"/>
  <c r="K17" i="83"/>
  <c r="E14" i="67"/>
  <c r="D21"/>
  <c r="M23"/>
  <c r="K16"/>
  <c r="F13" i="33"/>
  <c r="F14"/>
  <c r="D14"/>
  <c r="D15"/>
  <c r="F21"/>
  <c r="K15" i="84"/>
  <c r="D22" i="33"/>
  <c r="M13"/>
  <c r="K21"/>
  <c r="L13"/>
  <c r="K22"/>
  <c r="L14"/>
  <c r="M21"/>
  <c r="M16"/>
  <c r="K15" i="83"/>
  <c r="D23" i="33"/>
  <c r="F15"/>
  <c r="F16"/>
  <c r="E13"/>
  <c r="E14"/>
  <c r="E22"/>
  <c r="K15" i="82"/>
  <c r="M22" i="33"/>
  <c r="K15" i="81"/>
  <c r="K14" i="33"/>
  <c r="K20"/>
  <c r="K15"/>
  <c r="L22"/>
  <c r="E23"/>
  <c r="D16"/>
  <c r="E20"/>
  <c r="K15" i="77"/>
  <c r="D21" i="33"/>
  <c r="F22"/>
  <c r="D20"/>
  <c r="M14"/>
  <c r="L23"/>
  <c r="M15"/>
  <c r="K23"/>
  <c r="M20"/>
  <c r="K13"/>
  <c r="F23"/>
  <c r="D13"/>
  <c r="F20"/>
  <c r="K15" i="85"/>
  <c r="E21" i="33"/>
  <c r="E15"/>
  <c r="E16"/>
  <c r="L20"/>
  <c r="L15"/>
  <c r="L21"/>
  <c r="L16"/>
  <c r="M23"/>
  <c r="K16"/>
  <c r="D34" i="21"/>
  <c r="D34" i="23"/>
  <c r="D34" i="22"/>
  <c r="D34" i="96"/>
  <c r="D34" i="97"/>
  <c r="E23" i="75"/>
  <c r="D21"/>
  <c r="D23"/>
  <c r="E20"/>
  <c r="D20"/>
  <c r="E21"/>
  <c r="L13"/>
  <c r="M20"/>
  <c r="K23"/>
  <c r="M16"/>
  <c r="M21"/>
  <c r="L15"/>
  <c r="L20"/>
  <c r="K14"/>
  <c r="F16"/>
  <c r="F20"/>
  <c r="F21"/>
  <c r="F23"/>
  <c r="D14"/>
  <c r="K34" i="81"/>
  <c r="M23" i="75"/>
  <c r="K34" i="84"/>
  <c r="L22" i="75"/>
  <c r="K34" i="83"/>
  <c r="K21" i="75"/>
  <c r="D22"/>
  <c r="K34" i="77"/>
  <c r="E22" i="75"/>
  <c r="E15"/>
  <c r="F13"/>
  <c r="E13"/>
  <c r="E14"/>
  <c r="F14"/>
  <c r="M15"/>
  <c r="F22"/>
  <c r="L14"/>
  <c r="D15"/>
  <c r="K13"/>
  <c r="E16"/>
  <c r="M22"/>
  <c r="L16"/>
  <c r="D13"/>
  <c r="K34" i="85"/>
  <c r="F15" i="75"/>
  <c r="K34" i="82"/>
  <c r="D16" i="75"/>
  <c r="L21"/>
  <c r="K15"/>
  <c r="K20"/>
  <c r="M13"/>
  <c r="K16"/>
  <c r="L23"/>
  <c r="M14"/>
  <c r="K22"/>
  <c r="L16" i="59"/>
  <c r="K22" i="82"/>
  <c r="E13" i="59"/>
  <c r="E21"/>
  <c r="E15"/>
  <c r="D13"/>
  <c r="L15"/>
  <c r="E16" i="54"/>
  <c r="K14" i="77"/>
  <c r="K14" i="81"/>
  <c r="D16" i="54"/>
  <c r="L16"/>
  <c r="F16"/>
  <c r="L21"/>
  <c r="F15"/>
  <c r="K14" i="85"/>
  <c r="K14" i="54"/>
  <c r="K14" i="84"/>
  <c r="L22" i="54"/>
  <c r="E23"/>
  <c r="K13"/>
  <c r="E14"/>
  <c r="L13"/>
  <c r="K15"/>
  <c r="E21"/>
  <c r="M15"/>
  <c r="E22"/>
  <c r="L14"/>
  <c r="E13"/>
  <c r="M14"/>
  <c r="F14"/>
  <c r="K14" i="82"/>
  <c r="L15" i="54"/>
  <c r="D14"/>
  <c r="D13"/>
  <c r="D15"/>
  <c r="K16"/>
  <c r="F13"/>
  <c r="K14" i="83"/>
  <c r="M16" i="54"/>
  <c r="E20"/>
  <c r="L23"/>
  <c r="E15"/>
  <c r="L20"/>
  <c r="M13"/>
  <c r="E16" i="34"/>
  <c r="E22"/>
  <c r="K13" i="77"/>
  <c r="K13" i="34"/>
  <c r="D14"/>
  <c r="K21"/>
  <c r="L15"/>
  <c r="F20"/>
  <c r="K22"/>
  <c r="L16"/>
  <c r="D13"/>
  <c r="K13" i="84"/>
  <c r="K23" i="34"/>
  <c r="F14"/>
  <c r="F21"/>
  <c r="K13" i="82"/>
  <c r="M22" i="34"/>
  <c r="F16"/>
  <c r="K13" i="83"/>
  <c r="K14" i="34"/>
  <c r="F22"/>
  <c r="M20"/>
  <c r="K15"/>
  <c r="D15"/>
  <c r="D16"/>
  <c r="M21"/>
  <c r="K16"/>
  <c r="F15"/>
  <c r="F23"/>
  <c r="D21"/>
  <c r="L21"/>
  <c r="M15"/>
  <c r="D23"/>
  <c r="M23"/>
  <c r="F13"/>
  <c r="K13" i="85"/>
  <c r="M13" i="34"/>
  <c r="E13"/>
  <c r="D20"/>
  <c r="L20"/>
  <c r="M14"/>
  <c r="E14"/>
  <c r="D22"/>
  <c r="K20"/>
  <c r="L14"/>
  <c r="E23"/>
  <c r="L22"/>
  <c r="M16"/>
  <c r="E21"/>
  <c r="L23"/>
  <c r="E15"/>
  <c r="E20"/>
  <c r="K13" i="81"/>
  <c r="L13" i="34"/>
  <c r="D34" i="47"/>
  <c r="F20" s="1"/>
  <c r="D34" i="18"/>
  <c r="D34" i="25"/>
  <c r="U23" i="77"/>
  <c r="N31"/>
  <c r="S25" i="82"/>
  <c r="P23" i="85"/>
  <c r="N27" i="86"/>
  <c r="E37" i="87"/>
  <c r="E36" i="95"/>
  <c r="O28" i="77"/>
  <c r="N27" i="93"/>
  <c r="P27" i="83"/>
  <c r="N27"/>
  <c r="U27"/>
  <c r="T27"/>
  <c r="S27"/>
  <c r="S42" i="85"/>
  <c r="P42"/>
  <c r="N42"/>
  <c r="T42"/>
  <c r="T42" i="84"/>
  <c r="U42"/>
  <c r="P42"/>
  <c r="O42"/>
  <c r="S42"/>
  <c r="N59" i="82"/>
  <c r="T59"/>
  <c r="U59"/>
  <c r="O59"/>
  <c r="S20"/>
  <c r="T20"/>
  <c r="N20"/>
  <c r="P20"/>
  <c r="O20"/>
  <c r="S20" i="77"/>
  <c r="U20"/>
  <c r="N20"/>
  <c r="T20"/>
  <c r="O20"/>
  <c r="O20" i="85"/>
  <c r="S20"/>
  <c r="T20"/>
  <c r="U20"/>
  <c r="T58" i="82"/>
  <c r="N58"/>
  <c r="S58"/>
  <c r="U58"/>
  <c r="N20" i="85"/>
  <c r="P35" i="81"/>
  <c r="N35"/>
  <c r="T35"/>
  <c r="O35"/>
  <c r="N58" i="77"/>
  <c r="P58"/>
  <c r="S58"/>
  <c r="U58"/>
  <c r="T58"/>
  <c r="U35" i="81"/>
  <c r="P20" i="85"/>
  <c r="K14" i="59"/>
  <c r="K16"/>
  <c r="D22"/>
  <c r="M16"/>
  <c r="L13"/>
  <c r="D14"/>
  <c r="K13"/>
  <c r="E14"/>
  <c r="L20"/>
  <c r="E16"/>
  <c r="D21"/>
  <c r="D23"/>
  <c r="K22" i="83"/>
  <c r="K22" i="85"/>
  <c r="K15" i="59"/>
  <c r="E20"/>
  <c r="M14"/>
  <c r="E23"/>
  <c r="M13"/>
  <c r="F22"/>
  <c r="L22"/>
  <c r="M15"/>
  <c r="F14"/>
  <c r="F15"/>
  <c r="D15"/>
  <c r="K23"/>
  <c r="N13" i="82"/>
  <c r="O13"/>
  <c r="P13"/>
  <c r="S46" i="83"/>
  <c r="U46"/>
  <c r="P46"/>
  <c r="T46"/>
  <c r="O46"/>
  <c r="G27" i="36"/>
  <c r="E37"/>
  <c r="E36"/>
  <c r="N27"/>
  <c r="E34"/>
  <c r="D13" i="47"/>
  <c r="D15"/>
  <c r="D20"/>
  <c r="E13"/>
  <c r="E22"/>
  <c r="D21"/>
  <c r="K5" i="77"/>
  <c r="L21" i="47"/>
  <c r="M15"/>
  <c r="L22"/>
  <c r="K22"/>
  <c r="L16"/>
  <c r="M14"/>
  <c r="L20"/>
  <c r="F16"/>
  <c r="E14"/>
  <c r="D22"/>
  <c r="F13"/>
  <c r="F21"/>
  <c r="D23"/>
  <c r="K5" i="85"/>
  <c r="K20" i="47"/>
  <c r="L14"/>
  <c r="K21"/>
  <c r="M20"/>
  <c r="K15"/>
  <c r="M21"/>
  <c r="L15"/>
  <c r="F14"/>
  <c r="F23"/>
  <c r="D16"/>
  <c r="F22"/>
  <c r="E21"/>
  <c r="F15"/>
  <c r="K5" i="83"/>
  <c r="M22" i="47"/>
  <c r="E15"/>
  <c r="M23"/>
  <c r="L23"/>
  <c r="L13"/>
  <c r="K23"/>
  <c r="D14"/>
  <c r="K13"/>
  <c r="M16"/>
  <c r="K5" i="84"/>
  <c r="K5" i="81"/>
  <c r="M13" i="47"/>
  <c r="E16"/>
  <c r="E20"/>
  <c r="K5" i="82"/>
  <c r="K16" i="47"/>
  <c r="S52" i="85"/>
  <c r="T52"/>
  <c r="O52"/>
  <c r="K50" i="82"/>
  <c r="K50" i="85"/>
  <c r="K50" i="81"/>
  <c r="D15" i="88"/>
  <c r="F21"/>
  <c r="E14"/>
  <c r="E21"/>
  <c r="F13"/>
  <c r="L16"/>
  <c r="L23"/>
  <c r="M15"/>
  <c r="E22"/>
  <c r="K14"/>
  <c r="E23"/>
  <c r="D20"/>
  <c r="K50" i="84"/>
  <c r="D13" i="88"/>
  <c r="F16"/>
  <c r="F23"/>
  <c r="E16"/>
  <c r="K22"/>
  <c r="F15"/>
  <c r="L21"/>
  <c r="M13"/>
  <c r="M20"/>
  <c r="M22"/>
  <c r="F20"/>
  <c r="M14"/>
  <c r="K50" i="83"/>
  <c r="P9" i="85"/>
  <c r="U9"/>
  <c r="N9"/>
  <c r="T9"/>
  <c r="S9"/>
  <c r="F16" i="18"/>
  <c r="D13"/>
  <c r="M20"/>
  <c r="D22"/>
  <c r="K16"/>
  <c r="K57" i="83"/>
  <c r="D21" i="18"/>
  <c r="K15"/>
  <c r="D14"/>
  <c r="M16"/>
  <c r="K57" i="77"/>
  <c r="F21" i="18"/>
  <c r="K23"/>
  <c r="E15"/>
  <c r="D20"/>
  <c r="L16"/>
  <c r="E23"/>
  <c r="L20"/>
  <c r="K57" i="81"/>
  <c r="E16" i="18"/>
  <c r="K13"/>
  <c r="K15" i="95"/>
  <c r="F16"/>
  <c r="F15"/>
  <c r="D21"/>
  <c r="K61" i="82"/>
  <c r="E15" i="95"/>
  <c r="M23"/>
  <c r="K61" i="84"/>
  <c r="E16" i="95"/>
  <c r="D20"/>
  <c r="M13"/>
  <c r="D23"/>
  <c r="K61" i="81"/>
  <c r="K21" i="95"/>
  <c r="D13"/>
  <c r="K23"/>
  <c r="L20"/>
  <c r="K14"/>
  <c r="L23"/>
  <c r="F13"/>
  <c r="N60" i="81"/>
  <c r="T17"/>
  <c r="U3" i="82"/>
  <c r="S14" i="77"/>
  <c r="S14" i="81"/>
  <c r="P14"/>
  <c r="U14" i="85"/>
  <c r="U47" i="81"/>
  <c r="P47"/>
  <c r="O43" i="84"/>
  <c r="N43" i="77"/>
  <c r="O43"/>
  <c r="U15" i="83"/>
  <c r="T7" i="85"/>
  <c r="O7"/>
  <c r="N7" i="83"/>
  <c r="S7" i="81"/>
  <c r="T7"/>
  <c r="T34" i="85"/>
  <c r="N34"/>
  <c r="O34" i="82"/>
  <c r="N3" i="81"/>
  <c r="O3"/>
  <c r="P18" i="85"/>
  <c r="K53" i="84"/>
  <c r="L23" i="90"/>
  <c r="D21"/>
  <c r="F15"/>
  <c r="M23"/>
  <c r="E21"/>
  <c r="K15"/>
  <c r="F23"/>
  <c r="L20"/>
  <c r="D15"/>
  <c r="K23"/>
  <c r="M20"/>
  <c r="E15"/>
  <c r="P22" i="82"/>
  <c r="O22"/>
  <c r="O56" i="85"/>
  <c r="S56" i="84"/>
  <c r="N56"/>
  <c r="K59" i="81"/>
  <c r="K58" i="84"/>
  <c r="K58" i="83"/>
  <c r="M23" i="93"/>
  <c r="E15"/>
  <c r="L20"/>
  <c r="S52" i="81"/>
  <c r="O28" i="85"/>
  <c r="L21" i="92"/>
  <c r="D16"/>
  <c r="F13"/>
  <c r="M21"/>
  <c r="E16"/>
  <c r="K13"/>
  <c r="F21"/>
  <c r="L15"/>
  <c r="D13"/>
  <c r="K21"/>
  <c r="M15"/>
  <c r="E13"/>
  <c r="D14" i="55"/>
  <c r="M16"/>
  <c r="L22"/>
  <c r="E14"/>
  <c r="M15"/>
  <c r="L21"/>
  <c r="E13"/>
  <c r="K16"/>
  <c r="L20"/>
  <c r="E16"/>
  <c r="M13"/>
  <c r="D22" i="93"/>
  <c r="L15"/>
  <c r="M22"/>
  <c r="K16"/>
  <c r="E13"/>
  <c r="F20"/>
  <c r="D14"/>
  <c r="M21"/>
  <c r="M14"/>
  <c r="K22" i="59"/>
  <c r="F16"/>
  <c r="D20"/>
  <c r="L23"/>
  <c r="M21"/>
  <c r="L14"/>
  <c r="K22" i="84"/>
  <c r="U13" i="82"/>
  <c r="O13" i="83"/>
  <c r="N46"/>
  <c r="K14" i="47"/>
  <c r="N51" i="81"/>
  <c r="P51"/>
  <c r="O51"/>
  <c r="T48" i="82"/>
  <c r="U48"/>
  <c r="P48"/>
  <c r="T52" i="84"/>
  <c r="S52"/>
  <c r="U52"/>
  <c r="T37" i="82"/>
  <c r="S37"/>
  <c r="O37"/>
  <c r="U37"/>
  <c r="P37"/>
  <c r="E34" i="56"/>
  <c r="G27"/>
  <c r="N27"/>
  <c r="E36"/>
  <c r="E37"/>
  <c r="P48" i="81"/>
  <c r="T48"/>
  <c r="S48"/>
  <c r="S48" i="84"/>
  <c r="T48"/>
  <c r="U48"/>
  <c r="T49" i="85"/>
  <c r="N49"/>
  <c r="S49"/>
  <c r="N51" i="82"/>
  <c r="P51"/>
  <c r="U4" i="84"/>
  <c r="T4"/>
  <c r="O4"/>
  <c r="S4"/>
  <c r="N4"/>
  <c r="S60" i="81"/>
  <c r="P60"/>
  <c r="S60" i="85"/>
  <c r="T60"/>
  <c r="U17" i="81"/>
  <c r="S17"/>
  <c r="S3" i="82"/>
  <c r="T3"/>
  <c r="N14" i="77"/>
  <c r="T14"/>
  <c r="T14" i="81"/>
  <c r="N14" i="85"/>
  <c r="S14"/>
  <c r="N47" i="81"/>
  <c r="T43" i="84"/>
  <c r="S43"/>
  <c r="S43" i="77"/>
  <c r="O15" i="83"/>
  <c r="N15"/>
  <c r="S7" i="85"/>
  <c r="P7" i="83"/>
  <c r="U7"/>
  <c r="N7" i="81"/>
  <c r="U34" i="85"/>
  <c r="N34" i="82"/>
  <c r="U34"/>
  <c r="P3" i="81"/>
  <c r="U18" i="85"/>
  <c r="S18"/>
  <c r="T10"/>
  <c r="K53" i="81"/>
  <c r="K53" i="83"/>
  <c r="L21" i="90"/>
  <c r="D16"/>
  <c r="F13"/>
  <c r="M21"/>
  <c r="E16"/>
  <c r="K13"/>
  <c r="F21"/>
  <c r="L15"/>
  <c r="D13"/>
  <c r="K21"/>
  <c r="M15"/>
  <c r="E13"/>
  <c r="T22" i="82"/>
  <c r="T56" i="85"/>
  <c r="P56"/>
  <c r="O56" i="84"/>
  <c r="S61" i="85"/>
  <c r="K59" i="83"/>
  <c r="K59" i="85"/>
  <c r="K58" i="81"/>
  <c r="E21" i="93"/>
  <c r="L23"/>
  <c r="D15"/>
  <c r="T52" i="81"/>
  <c r="U28" i="85"/>
  <c r="F22" i="92"/>
  <c r="L16"/>
  <c r="D14"/>
  <c r="K22"/>
  <c r="M16"/>
  <c r="E14"/>
  <c r="D22"/>
  <c r="F16"/>
  <c r="L13"/>
  <c r="E22"/>
  <c r="K16"/>
  <c r="M13"/>
  <c r="F21" i="55"/>
  <c r="K18" i="83"/>
  <c r="M23" i="55"/>
  <c r="F16"/>
  <c r="D13"/>
  <c r="M22"/>
  <c r="F23"/>
  <c r="K18" i="82"/>
  <c r="M21" i="55"/>
  <c r="D15"/>
  <c r="K15"/>
  <c r="K18" i="84"/>
  <c r="L22" i="93"/>
  <c r="F16"/>
  <c r="D13"/>
  <c r="E20"/>
  <c r="M13"/>
  <c r="L21"/>
  <c r="L14"/>
  <c r="K22"/>
  <c r="E16"/>
  <c r="M23" i="59"/>
  <c r="K22" i="77"/>
  <c r="F13" i="59"/>
  <c r="L22" i="88"/>
  <c r="E20"/>
  <c r="T51" i="81"/>
  <c r="K20" i="59"/>
  <c r="L21"/>
  <c r="E22"/>
  <c r="D16"/>
  <c r="K21"/>
  <c r="P52" i="84"/>
  <c r="O48" i="82"/>
  <c r="N52" i="85"/>
  <c r="S13" i="82"/>
  <c r="K21" i="88"/>
  <c r="F22"/>
  <c r="M23"/>
  <c r="K13"/>
  <c r="L13"/>
  <c r="N50" i="77"/>
  <c r="O50"/>
  <c r="P50"/>
  <c r="P13" i="83"/>
  <c r="U13"/>
  <c r="S13"/>
  <c r="P46" i="82"/>
  <c r="U46"/>
  <c r="S46"/>
  <c r="N46"/>
  <c r="T46"/>
  <c r="O46"/>
  <c r="G27" i="65"/>
  <c r="E34"/>
  <c r="E36"/>
  <c r="E37"/>
  <c r="N27"/>
  <c r="O56" i="81"/>
  <c r="N56"/>
  <c r="T61" i="77"/>
  <c r="U61"/>
  <c r="S49" i="81"/>
  <c r="O49"/>
  <c r="P49"/>
  <c r="P52" i="77"/>
  <c r="S52"/>
  <c r="T52"/>
  <c r="U60" i="85"/>
  <c r="O60"/>
  <c r="N17" i="81"/>
  <c r="P3" i="82"/>
  <c r="O14" i="77"/>
  <c r="P14" i="85"/>
  <c r="N43" i="84"/>
  <c r="S15" i="83"/>
  <c r="O7"/>
  <c r="T34" i="82"/>
  <c r="O18" i="85"/>
  <c r="K53" i="82"/>
  <c r="K53" i="77"/>
  <c r="F22" i="90"/>
  <c r="L16"/>
  <c r="D14"/>
  <c r="K22"/>
  <c r="M16"/>
  <c r="E14"/>
  <c r="D22"/>
  <c r="F16"/>
  <c r="L13"/>
  <c r="E22"/>
  <c r="K16"/>
  <c r="U56" i="85"/>
  <c r="P56" i="84"/>
  <c r="O61" i="85"/>
  <c r="K59" i="77"/>
  <c r="K59" i="84"/>
  <c r="K58" i="85"/>
  <c r="D21" i="93"/>
  <c r="K23"/>
  <c r="P52" i="81"/>
  <c r="S28" i="85"/>
  <c r="D23" i="92"/>
  <c r="F20"/>
  <c r="L14"/>
  <c r="E23"/>
  <c r="K20"/>
  <c r="M14"/>
  <c r="L22"/>
  <c r="D20"/>
  <c r="F14"/>
  <c r="M22"/>
  <c r="E20"/>
  <c r="E21" i="55"/>
  <c r="F15"/>
  <c r="K14"/>
  <c r="F20"/>
  <c r="K18" i="81"/>
  <c r="K13" i="55"/>
  <c r="E23"/>
  <c r="K18" i="77"/>
  <c r="L13" i="55"/>
  <c r="F22"/>
  <c r="L16"/>
  <c r="D20" i="93"/>
  <c r="L13"/>
  <c r="K21"/>
  <c r="K14"/>
  <c r="F22"/>
  <c r="D16"/>
  <c r="E23"/>
  <c r="M16"/>
  <c r="K13"/>
  <c r="M22" i="59"/>
  <c r="F14" i="88"/>
  <c r="D23"/>
  <c r="U51" i="81"/>
  <c r="M20" i="59"/>
  <c r="F23"/>
  <c r="F20"/>
  <c r="F21"/>
  <c r="K22" i="81"/>
  <c r="U50" i="77"/>
  <c r="N48" i="82"/>
  <c r="T13"/>
  <c r="K23" i="88"/>
  <c r="E13"/>
  <c r="D14"/>
  <c r="K15"/>
  <c r="L15"/>
  <c r="N37" i="82"/>
  <c r="E23" i="47"/>
  <c r="N6" i="81"/>
  <c r="T6"/>
  <c r="S6"/>
  <c r="P6"/>
  <c r="O6"/>
  <c r="U26" i="83"/>
  <c r="T26"/>
  <c r="N26"/>
  <c r="S26"/>
  <c r="O26"/>
  <c r="E16" i="61"/>
  <c r="D15"/>
  <c r="F22"/>
  <c r="E22"/>
  <c r="D22"/>
  <c r="K30" i="84"/>
  <c r="D13" i="61"/>
  <c r="K22"/>
  <c r="L16"/>
  <c r="L13"/>
  <c r="L21"/>
  <c r="M15"/>
  <c r="M16"/>
  <c r="F13"/>
  <c r="E13"/>
  <c r="F23"/>
  <c r="E23"/>
  <c r="D23"/>
  <c r="D16"/>
  <c r="K30" i="81"/>
  <c r="M20" i="61"/>
  <c r="K15"/>
  <c r="K23"/>
  <c r="K20"/>
  <c r="L14"/>
  <c r="M23"/>
  <c r="F15"/>
  <c r="E15"/>
  <c r="D14"/>
  <c r="F21"/>
  <c r="E21"/>
  <c r="D21"/>
  <c r="K30" i="82"/>
  <c r="K30" i="85"/>
  <c r="L23" i="61"/>
  <c r="L20"/>
  <c r="M14"/>
  <c r="M22"/>
  <c r="K14"/>
  <c r="K21"/>
  <c r="E16" i="50"/>
  <c r="E20"/>
  <c r="D23"/>
  <c r="K6" i="84"/>
  <c r="D13" i="50"/>
  <c r="L13"/>
  <c r="K6" i="83"/>
  <c r="L14" i="50"/>
  <c r="L22"/>
  <c r="K22"/>
  <c r="D22"/>
  <c r="F14"/>
  <c r="F15"/>
  <c r="E21"/>
  <c r="D16"/>
  <c r="F16"/>
  <c r="K6" i="85"/>
  <c r="K23" i="50"/>
  <c r="M13"/>
  <c r="K13"/>
  <c r="K21"/>
  <c r="M16"/>
  <c r="F13"/>
  <c r="E15"/>
  <c r="D20"/>
  <c r="E23"/>
  <c r="K6" i="77"/>
  <c r="K6" i="82"/>
  <c r="M14" i="50"/>
  <c r="K20"/>
  <c r="M15"/>
  <c r="K14"/>
  <c r="K15"/>
  <c r="E22"/>
  <c r="F14" i="48"/>
  <c r="D22"/>
  <c r="D13"/>
  <c r="K11" i="77"/>
  <c r="D20" i="48"/>
  <c r="L20"/>
  <c r="K16"/>
  <c r="K11" i="84"/>
  <c r="K23" i="48"/>
  <c r="F15"/>
  <c r="K11" i="82"/>
  <c r="L15" i="48"/>
  <c r="K21"/>
  <c r="F16"/>
  <c r="D23"/>
  <c r="D14"/>
  <c r="D21"/>
  <c r="E23"/>
  <c r="L13"/>
  <c r="M14"/>
  <c r="K15"/>
  <c r="M21"/>
  <c r="K11" i="81"/>
  <c r="E21" i="48"/>
  <c r="K14"/>
  <c r="E20"/>
  <c r="D15"/>
  <c r="K11" i="83"/>
  <c r="F22" i="48"/>
  <c r="F13"/>
  <c r="D16"/>
  <c r="K22"/>
  <c r="M13"/>
  <c r="K13"/>
  <c r="L14"/>
  <c r="E14"/>
  <c r="L21"/>
  <c r="M16"/>
  <c r="L16"/>
  <c r="E37" i="9"/>
  <c r="E36"/>
  <c r="N27"/>
  <c r="G27"/>
  <c r="G27" i="70"/>
  <c r="E37"/>
  <c r="N27"/>
  <c r="E36" i="53"/>
  <c r="G27"/>
  <c r="E34"/>
  <c r="E37"/>
  <c r="G27" i="32"/>
  <c r="N27"/>
  <c r="E34"/>
  <c r="E36"/>
  <c r="T46" i="85"/>
  <c r="O46"/>
  <c r="O25" i="83"/>
  <c r="T25"/>
  <c r="E34" i="21"/>
  <c r="G27"/>
  <c r="N27"/>
  <c r="E36"/>
  <c r="D34" i="53"/>
  <c r="K39"/>
  <c r="F23" i="51"/>
  <c r="E23"/>
  <c r="E13"/>
  <c r="E22"/>
  <c r="D21"/>
  <c r="D16"/>
  <c r="K8" i="82"/>
  <c r="K13" i="51"/>
  <c r="K21"/>
  <c r="L15"/>
  <c r="L23"/>
  <c r="D15"/>
  <c r="M21"/>
  <c r="L13"/>
  <c r="F16"/>
  <c r="F20"/>
  <c r="E15"/>
  <c r="E16"/>
  <c r="D23"/>
  <c r="D20"/>
  <c r="K8" i="84"/>
  <c r="M22" i="51"/>
  <c r="K8" i="81"/>
  <c r="K14" i="51"/>
  <c r="K22"/>
  <c r="L16"/>
  <c r="K8" i="83"/>
  <c r="M14" i="51"/>
  <c r="F22"/>
  <c r="F15"/>
  <c r="D14"/>
  <c r="E21"/>
  <c r="F14"/>
  <c r="K8" i="77"/>
  <c r="K20" i="51"/>
  <c r="L14"/>
  <c r="L22"/>
  <c r="M16"/>
  <c r="M13"/>
  <c r="K8" i="85"/>
  <c r="K16" i="51"/>
  <c r="K23"/>
  <c r="F20" i="87"/>
  <c r="M14"/>
  <c r="M22"/>
  <c r="K49" i="82"/>
  <c r="F16" i="87"/>
  <c r="F15"/>
  <c r="U40" i="77"/>
  <c r="O40"/>
  <c r="L16" i="68"/>
  <c r="U16" i="83"/>
  <c r="P16"/>
  <c r="T40" i="85"/>
  <c r="L23" i="13"/>
  <c r="K23"/>
  <c r="E21"/>
  <c r="F16"/>
  <c r="L13"/>
  <c r="E20"/>
  <c r="F15"/>
  <c r="M14"/>
  <c r="D23"/>
  <c r="F14"/>
  <c r="K16"/>
  <c r="D22"/>
  <c r="F13"/>
  <c r="K51" i="77"/>
  <c r="K51" i="85"/>
  <c r="S47" i="84"/>
  <c r="N16"/>
  <c r="P16"/>
  <c r="T47" i="82"/>
  <c r="N13" i="81"/>
  <c r="P13"/>
  <c r="N16" i="82"/>
  <c r="L23" i="87"/>
  <c r="D16"/>
  <c r="M21"/>
  <c r="E14"/>
  <c r="L20"/>
  <c r="K23"/>
  <c r="M15"/>
  <c r="K49" i="77"/>
  <c r="E14" i="68"/>
  <c r="E13"/>
  <c r="F20"/>
  <c r="E23"/>
  <c r="D22"/>
  <c r="K49" i="84"/>
  <c r="M16" i="68"/>
  <c r="M20"/>
  <c r="K14"/>
  <c r="L15"/>
  <c r="K19" i="81"/>
  <c r="L20" i="68"/>
  <c r="N44" i="85"/>
  <c r="S44"/>
  <c r="N44" i="82"/>
  <c r="S44" i="77"/>
  <c r="O44"/>
  <c r="S30"/>
  <c r="U30"/>
  <c r="P32" i="81"/>
  <c r="O32"/>
  <c r="P39" i="83"/>
  <c r="S24" i="84"/>
  <c r="N24"/>
  <c r="D20" i="41"/>
  <c r="K21"/>
  <c r="P9" i="77"/>
  <c r="S9"/>
  <c r="O9"/>
  <c r="N9"/>
  <c r="S37" i="83"/>
  <c r="U37"/>
  <c r="N37"/>
  <c r="O37"/>
  <c r="T37"/>
  <c r="O25" i="85"/>
  <c r="T25"/>
  <c r="N25"/>
  <c r="P25"/>
  <c r="U25"/>
  <c r="T25" i="77"/>
  <c r="O25"/>
  <c r="S25"/>
  <c r="U25"/>
  <c r="E15" i="28"/>
  <c r="F22"/>
  <c r="F14"/>
  <c r="K36" i="83"/>
  <c r="E22" i="28"/>
  <c r="D16"/>
  <c r="K36" i="81"/>
  <c r="L13" i="28"/>
  <c r="K21"/>
  <c r="L15"/>
  <c r="L23"/>
  <c r="M22"/>
  <c r="L16"/>
  <c r="F13"/>
  <c r="F23"/>
  <c r="D13"/>
  <c r="D15"/>
  <c r="E23"/>
  <c r="D22"/>
  <c r="D23"/>
  <c r="K23"/>
  <c r="D21"/>
  <c r="K14"/>
  <c r="M20"/>
  <c r="K20"/>
  <c r="M13"/>
  <c r="F16"/>
  <c r="E13"/>
  <c r="F21"/>
  <c r="E16"/>
  <c r="K36" i="77"/>
  <c r="E21" i="28"/>
  <c r="K36" i="85"/>
  <c r="L20" i="28"/>
  <c r="M14"/>
  <c r="L22"/>
  <c r="M16"/>
  <c r="K15"/>
  <c r="L14"/>
  <c r="K13"/>
  <c r="F23" i="60"/>
  <c r="F15"/>
  <c r="D14"/>
  <c r="F14"/>
  <c r="D16"/>
  <c r="E22"/>
  <c r="K24" i="81"/>
  <c r="K13" i="60"/>
  <c r="K24" i="83"/>
  <c r="K14" i="60"/>
  <c r="M20"/>
  <c r="K15"/>
  <c r="K24" i="77"/>
  <c r="L20" i="60"/>
  <c r="F16"/>
  <c r="F20"/>
  <c r="E13"/>
  <c r="D20"/>
  <c r="D15"/>
  <c r="E20"/>
  <c r="E16"/>
  <c r="M22"/>
  <c r="K24" i="85"/>
  <c r="M23" i="60"/>
  <c r="E21"/>
  <c r="M13"/>
  <c r="M14"/>
  <c r="K16"/>
  <c r="F22"/>
  <c r="F13"/>
  <c r="D13"/>
  <c r="E14"/>
  <c r="E23"/>
  <c r="D22"/>
  <c r="K20"/>
  <c r="L14"/>
  <c r="K21"/>
  <c r="L15"/>
  <c r="K22"/>
  <c r="L16"/>
  <c r="K23"/>
  <c r="E16" i="58"/>
  <c r="E23"/>
  <c r="D13"/>
  <c r="K26" i="81"/>
  <c r="L22" i="58"/>
  <c r="M16"/>
  <c r="M13"/>
  <c r="L20"/>
  <c r="M14"/>
  <c r="M22"/>
  <c r="F14"/>
  <c r="F13"/>
  <c r="F23"/>
  <c r="D20"/>
  <c r="K26" i="82"/>
  <c r="K21" i="58"/>
  <c r="L15"/>
  <c r="L23"/>
  <c r="K26" i="77"/>
  <c r="L13" i="58"/>
  <c r="L21"/>
  <c r="M15"/>
  <c r="D15"/>
  <c r="E22"/>
  <c r="K26" i="85"/>
  <c r="M23" i="58"/>
  <c r="M20"/>
  <c r="K15"/>
  <c r="M21"/>
  <c r="K16"/>
  <c r="K13"/>
  <c r="G27" i="42"/>
  <c r="E34"/>
  <c r="E37"/>
  <c r="E36"/>
  <c r="N27"/>
  <c r="E34" i="75"/>
  <c r="N27"/>
  <c r="E36"/>
  <c r="E37" i="73"/>
  <c r="N27"/>
  <c r="E34"/>
  <c r="G27"/>
  <c r="E34" i="66"/>
  <c r="N27"/>
  <c r="E36"/>
  <c r="G27"/>
  <c r="E36" i="51"/>
  <c r="G27"/>
  <c r="E34"/>
  <c r="E37"/>
  <c r="E37" i="23"/>
  <c r="N27"/>
  <c r="E34"/>
  <c r="G27"/>
  <c r="E34" i="16"/>
  <c r="G27"/>
  <c r="N27"/>
  <c r="E36"/>
  <c r="D21" i="42"/>
  <c r="L14"/>
  <c r="K20"/>
  <c r="M14"/>
  <c r="M15"/>
  <c r="F16"/>
  <c r="K16"/>
  <c r="K39" i="85"/>
  <c r="K39" i="77"/>
  <c r="K39" i="81"/>
  <c r="D23" i="42"/>
  <c r="F15"/>
  <c r="K22"/>
  <c r="K15"/>
  <c r="K23"/>
  <c r="D22"/>
  <c r="K21"/>
  <c r="F14"/>
  <c r="K39" i="82"/>
  <c r="L16" i="42"/>
  <c r="D14"/>
  <c r="M16"/>
  <c r="E14"/>
  <c r="K14"/>
  <c r="D15"/>
  <c r="E15"/>
  <c r="L15"/>
  <c r="D13"/>
  <c r="D21" i="78"/>
  <c r="D16"/>
  <c r="D15"/>
  <c r="L13"/>
  <c r="K20"/>
  <c r="M15"/>
  <c r="L23"/>
  <c r="K22"/>
  <c r="E14"/>
  <c r="K37" i="84"/>
  <c r="E20" i="78"/>
  <c r="D22"/>
  <c r="D20"/>
  <c r="K37" i="81"/>
  <c r="E21" i="78"/>
  <c r="K23"/>
  <c r="F15"/>
  <c r="L14"/>
  <c r="M16"/>
  <c r="L16"/>
  <c r="E22"/>
  <c r="F13"/>
  <c r="D13"/>
  <c r="K37" i="77"/>
  <c r="E15" i="78"/>
  <c r="M14"/>
  <c r="L21"/>
  <c r="K21"/>
  <c r="L22"/>
  <c r="L15"/>
  <c r="F16"/>
  <c r="E13"/>
  <c r="F23" i="62"/>
  <c r="F14"/>
  <c r="D13"/>
  <c r="D16"/>
  <c r="E13"/>
  <c r="E23"/>
  <c r="E22"/>
  <c r="L21"/>
  <c r="M15"/>
  <c r="K14"/>
  <c r="K32" i="77"/>
  <c r="L23" i="62"/>
  <c r="L20"/>
  <c r="K23"/>
  <c r="F16"/>
  <c r="F20"/>
  <c r="D15"/>
  <c r="E15"/>
  <c r="F13"/>
  <c r="D14"/>
  <c r="E20"/>
  <c r="K20"/>
  <c r="L14"/>
  <c r="M23"/>
  <c r="E21"/>
  <c r="K22"/>
  <c r="L16"/>
  <c r="L13"/>
  <c r="F22"/>
  <c r="E16"/>
  <c r="K32" i="83"/>
  <c r="K32" i="82"/>
  <c r="D21" i="62"/>
  <c r="D22"/>
  <c r="K32" i="85"/>
  <c r="M22" i="62"/>
  <c r="K21"/>
  <c r="L15"/>
  <c r="M13"/>
  <c r="M14"/>
  <c r="K16"/>
  <c r="E23" i="87"/>
  <c r="D20"/>
  <c r="K14"/>
  <c r="M20"/>
  <c r="E16"/>
  <c r="M23" i="68"/>
  <c r="O40" i="85"/>
  <c r="L22" i="13"/>
  <c r="D15"/>
  <c r="K22"/>
  <c r="M23"/>
  <c r="D14"/>
  <c r="L16"/>
  <c r="K14"/>
  <c r="F23"/>
  <c r="M20"/>
  <c r="L15"/>
  <c r="F22"/>
  <c r="K51" i="83"/>
  <c r="K51" i="84"/>
  <c r="O47"/>
  <c r="U47" i="82"/>
  <c r="P16"/>
  <c r="D21" i="87"/>
  <c r="F13"/>
  <c r="M16"/>
  <c r="D22"/>
  <c r="D15"/>
  <c r="K21"/>
  <c r="F16" i="68"/>
  <c r="D13"/>
  <c r="K19" i="85"/>
  <c r="F13" i="68"/>
  <c r="E15"/>
  <c r="K15"/>
  <c r="M22"/>
  <c r="K19" i="77"/>
  <c r="S44" i="82"/>
  <c r="O39" i="83"/>
  <c r="M15" i="41"/>
  <c r="K23"/>
  <c r="E36" i="90"/>
  <c r="S29" i="83"/>
  <c r="P29"/>
  <c r="U29"/>
  <c r="O29"/>
  <c r="N29" i="84"/>
  <c r="O29"/>
  <c r="P29"/>
  <c r="T29"/>
  <c r="S29"/>
  <c r="O29" i="82"/>
  <c r="U29"/>
  <c r="P29"/>
  <c r="T29"/>
  <c r="P26" i="84"/>
  <c r="U26"/>
  <c r="N26"/>
  <c r="O26"/>
  <c r="O28" i="82"/>
  <c r="N28"/>
  <c r="T28"/>
  <c r="S28"/>
  <c r="P28"/>
  <c r="P28" i="81"/>
  <c r="S28"/>
  <c r="N28"/>
  <c r="T28"/>
  <c r="S11" i="85"/>
  <c r="U11"/>
  <c r="P11"/>
  <c r="O11"/>
  <c r="T11"/>
  <c r="K15" i="41"/>
  <c r="D15"/>
  <c r="L15"/>
  <c r="E15"/>
  <c r="L13"/>
  <c r="K20"/>
  <c r="M14"/>
  <c r="K38" i="84"/>
  <c r="K38" i="83"/>
  <c r="L16" i="41"/>
  <c r="E16"/>
  <c r="M16"/>
  <c r="F16"/>
  <c r="K16"/>
  <c r="E13"/>
  <c r="E14"/>
  <c r="K38" i="85"/>
  <c r="K38" i="82"/>
  <c r="K38" i="81"/>
  <c r="M13" i="41"/>
  <c r="F13"/>
  <c r="K14"/>
  <c r="D14"/>
  <c r="D23"/>
  <c r="L14"/>
  <c r="F14"/>
  <c r="K13"/>
  <c r="K38" i="77"/>
  <c r="G27" i="58"/>
  <c r="E37"/>
  <c r="E34"/>
  <c r="N27"/>
  <c r="N27" i="54"/>
  <c r="G27"/>
  <c r="E37"/>
  <c r="E34"/>
  <c r="N27" i="50"/>
  <c r="G27"/>
  <c r="E37"/>
  <c r="E34"/>
  <c r="U45" i="77"/>
  <c r="N45"/>
  <c r="U44" i="81"/>
  <c r="N44"/>
  <c r="S9" i="82"/>
  <c r="P9"/>
  <c r="S28" i="83"/>
  <c r="P28"/>
  <c r="S29" i="85"/>
  <c r="P29"/>
  <c r="S28" i="84"/>
  <c r="P28"/>
  <c r="N27" i="88"/>
  <c r="D13" i="25" l="1"/>
  <c r="E20"/>
  <c r="K22"/>
  <c r="F16"/>
  <c r="E22"/>
  <c r="K20"/>
  <c r="E16"/>
  <c r="K21"/>
  <c r="M15"/>
  <c r="D16"/>
  <c r="L15"/>
  <c r="L23"/>
  <c r="D21"/>
  <c r="K16"/>
  <c r="K63" i="77"/>
  <c r="D14" i="25"/>
  <c r="M14"/>
  <c r="K63" i="84"/>
  <c r="E21" i="25"/>
  <c r="L16"/>
  <c r="F14"/>
  <c r="E23"/>
  <c r="K13"/>
  <c r="E13"/>
  <c r="L20"/>
  <c r="K63" i="81"/>
  <c r="E15" i="25"/>
  <c r="D22"/>
  <c r="K63" i="85"/>
  <c r="F13" i="25"/>
  <c r="L13"/>
  <c r="K63" i="82"/>
  <c r="D20" i="25"/>
  <c r="M13"/>
  <c r="D15"/>
  <c r="K14"/>
  <c r="L21"/>
  <c r="E14"/>
  <c r="L22"/>
  <c r="K15"/>
  <c r="F15"/>
  <c r="M16"/>
  <c r="L14"/>
  <c r="D23"/>
  <c r="K23"/>
  <c r="K63" i="83"/>
  <c r="T13" i="81"/>
  <c r="O13"/>
  <c r="S13"/>
  <c r="U13"/>
  <c r="N14" i="84"/>
  <c r="S14"/>
  <c r="P14"/>
  <c r="T14"/>
  <c r="U14"/>
  <c r="O14"/>
  <c r="O14" i="81"/>
  <c r="U14"/>
  <c r="N14"/>
  <c r="U22" i="82"/>
  <c r="N22"/>
  <c r="S22"/>
  <c r="U34" i="83"/>
  <c r="P34"/>
  <c r="S34"/>
  <c r="N34"/>
  <c r="O34"/>
  <c r="T34"/>
  <c r="P34" i="81"/>
  <c r="O34"/>
  <c r="N34"/>
  <c r="U34"/>
  <c r="T34"/>
  <c r="S34"/>
  <c r="F15" i="97"/>
  <c r="D21"/>
  <c r="L23"/>
  <c r="E15"/>
  <c r="M20"/>
  <c r="K23"/>
  <c r="L13"/>
  <c r="F16"/>
  <c r="D22"/>
  <c r="K15"/>
  <c r="E21"/>
  <c r="M23"/>
  <c r="K67" i="77"/>
  <c r="L14" i="97"/>
  <c r="F20"/>
  <c r="D23"/>
  <c r="K67" i="81"/>
  <c r="K14" i="97"/>
  <c r="E20"/>
  <c r="M22"/>
  <c r="D13"/>
  <c r="L15"/>
  <c r="F21"/>
  <c r="K67" i="82"/>
  <c r="M14" i="97"/>
  <c r="K20"/>
  <c r="E23"/>
  <c r="D14"/>
  <c r="L16"/>
  <c r="F22"/>
  <c r="M13"/>
  <c r="K16"/>
  <c r="E22"/>
  <c r="D15"/>
  <c r="L20"/>
  <c r="F23"/>
  <c r="E14"/>
  <c r="M16"/>
  <c r="K22"/>
  <c r="K67" i="85"/>
  <c r="F13" i="97"/>
  <c r="D16"/>
  <c r="L21"/>
  <c r="K67" i="84"/>
  <c r="E13" i="97"/>
  <c r="M15"/>
  <c r="K21"/>
  <c r="K67" i="83"/>
  <c r="F14" i="97"/>
  <c r="D20"/>
  <c r="L22"/>
  <c r="K13"/>
  <c r="E16"/>
  <c r="M21"/>
  <c r="D13" i="21"/>
  <c r="L20"/>
  <c r="L16"/>
  <c r="K62" i="84"/>
  <c r="D14" i="21"/>
  <c r="D22"/>
  <c r="M23"/>
  <c r="M16"/>
  <c r="F16"/>
  <c r="E20"/>
  <c r="D15"/>
  <c r="K16"/>
  <c r="M15"/>
  <c r="K62" i="77"/>
  <c r="F20" i="21"/>
  <c r="L13"/>
  <c r="K23"/>
  <c r="K21"/>
  <c r="E13"/>
  <c r="D20"/>
  <c r="E21"/>
  <c r="L15"/>
  <c r="E15"/>
  <c r="K62" i="81"/>
  <c r="E14" i="21"/>
  <c r="M14"/>
  <c r="K15"/>
  <c r="K62" i="85"/>
  <c r="K20" i="21"/>
  <c r="F21"/>
  <c r="L23"/>
  <c r="D21"/>
  <c r="K13"/>
  <c r="F22"/>
  <c r="F13"/>
  <c r="E22"/>
  <c r="K14"/>
  <c r="K62" i="83"/>
  <c r="L22" i="21"/>
  <c r="E16"/>
  <c r="M22"/>
  <c r="K22"/>
  <c r="M20"/>
  <c r="F14"/>
  <c r="F23"/>
  <c r="D23"/>
  <c r="L14"/>
  <c r="K62" i="82"/>
  <c r="F15" i="21"/>
  <c r="E23"/>
  <c r="M21"/>
  <c r="L21"/>
  <c r="M13"/>
  <c r="D16"/>
  <c r="T15" i="83"/>
  <c r="P15"/>
  <c r="N17" i="84"/>
  <c r="P17"/>
  <c r="U17"/>
  <c r="S17"/>
  <c r="T17"/>
  <c r="O17"/>
  <c r="N43" i="83"/>
  <c r="O43"/>
  <c r="T43"/>
  <c r="P43"/>
  <c r="U43"/>
  <c r="S43"/>
  <c r="M13" i="90"/>
  <c r="F14"/>
  <c r="K20"/>
  <c r="D23"/>
  <c r="M22"/>
  <c r="M14"/>
  <c r="F20"/>
  <c r="E20"/>
  <c r="L22"/>
  <c r="L14"/>
  <c r="K14"/>
  <c r="D20"/>
  <c r="E23"/>
  <c r="K53" i="85"/>
  <c r="T10" i="81"/>
  <c r="U10"/>
  <c r="O10"/>
  <c r="N10"/>
  <c r="P10"/>
  <c r="S10"/>
  <c r="S20"/>
  <c r="U20"/>
  <c r="N20"/>
  <c r="P20"/>
  <c r="O20"/>
  <c r="T20"/>
  <c r="N14" i="83"/>
  <c r="U14"/>
  <c r="S14"/>
  <c r="T14"/>
  <c r="P14"/>
  <c r="O14"/>
  <c r="P34" i="82"/>
  <c r="S34"/>
  <c r="E16" i="23"/>
  <c r="D22"/>
  <c r="K22"/>
  <c r="K64" i="83"/>
  <c r="E23" i="23"/>
  <c r="M21"/>
  <c r="L14"/>
  <c r="E14"/>
  <c r="D20"/>
  <c r="L16"/>
  <c r="F15"/>
  <c r="E21"/>
  <c r="L13"/>
  <c r="K64" i="84"/>
  <c r="F16" i="23"/>
  <c r="E22"/>
  <c r="K23"/>
  <c r="K64" i="85"/>
  <c r="F23" i="23"/>
  <c r="K14"/>
  <c r="M20"/>
  <c r="F14"/>
  <c r="E20"/>
  <c r="M14"/>
  <c r="K64" i="77"/>
  <c r="F21" i="23"/>
  <c r="M16"/>
  <c r="K20"/>
  <c r="F22"/>
  <c r="L15"/>
  <c r="K15"/>
  <c r="E13"/>
  <c r="D13"/>
  <c r="L23"/>
  <c r="F20"/>
  <c r="L20"/>
  <c r="M22"/>
  <c r="D14"/>
  <c r="L22"/>
  <c r="K13"/>
  <c r="D15"/>
  <c r="K21"/>
  <c r="L21"/>
  <c r="F13"/>
  <c r="D23"/>
  <c r="K16"/>
  <c r="K64" i="81"/>
  <c r="D16" i="23"/>
  <c r="M23"/>
  <c r="M15"/>
  <c r="E15"/>
  <c r="D21"/>
  <c r="M13"/>
  <c r="K64" i="82"/>
  <c r="T15" i="77"/>
  <c r="P15"/>
  <c r="S15"/>
  <c r="N15"/>
  <c r="U15"/>
  <c r="O15"/>
  <c r="T15" i="81"/>
  <c r="N15"/>
  <c r="U15"/>
  <c r="O15"/>
  <c r="P15"/>
  <c r="S15"/>
  <c r="U17" i="83"/>
  <c r="S17"/>
  <c r="O17"/>
  <c r="T17"/>
  <c r="P17"/>
  <c r="N17"/>
  <c r="S17" i="77"/>
  <c r="O17"/>
  <c r="N17"/>
  <c r="T17"/>
  <c r="U17"/>
  <c r="P17"/>
  <c r="S43" i="81"/>
  <c r="P43"/>
  <c r="O43"/>
  <c r="U43"/>
  <c r="N43"/>
  <c r="T43"/>
  <c r="S43" i="82"/>
  <c r="T43"/>
  <c r="O43"/>
  <c r="P43"/>
  <c r="N43"/>
  <c r="U43"/>
  <c r="O43" i="85"/>
  <c r="P43"/>
  <c r="U43"/>
  <c r="T43"/>
  <c r="S43"/>
  <c r="N43"/>
  <c r="K54" i="77"/>
  <c r="K13" i="91"/>
  <c r="M16"/>
  <c r="M23"/>
  <c r="D16"/>
  <c r="F22"/>
  <c r="E15"/>
  <c r="K21"/>
  <c r="L13"/>
  <c r="L20"/>
  <c r="K54" i="82"/>
  <c r="L22" i="91"/>
  <c r="E20"/>
  <c r="L14"/>
  <c r="K54" i="83"/>
  <c r="E16" i="91"/>
  <c r="K22"/>
  <c r="F15"/>
  <c r="L21"/>
  <c r="M13"/>
  <c r="M20"/>
  <c r="D13"/>
  <c r="F16"/>
  <c r="F23"/>
  <c r="M22"/>
  <c r="F20"/>
  <c r="M14"/>
  <c r="K15"/>
  <c r="M21"/>
  <c r="D14"/>
  <c r="D21"/>
  <c r="E13"/>
  <c r="K16"/>
  <c r="K23"/>
  <c r="L15"/>
  <c r="D22"/>
  <c r="F14"/>
  <c r="D23"/>
  <c r="K20"/>
  <c r="K54" i="84"/>
  <c r="K54" i="85"/>
  <c r="K54" i="81"/>
  <c r="E14" i="91"/>
  <c r="E21"/>
  <c r="F13"/>
  <c r="L16"/>
  <c r="L23"/>
  <c r="M15"/>
  <c r="E22"/>
  <c r="D15"/>
  <c r="F21"/>
  <c r="D20"/>
  <c r="K14"/>
  <c r="E23"/>
  <c r="U10" i="82"/>
  <c r="N10"/>
  <c r="S10"/>
  <c r="T10"/>
  <c r="P10"/>
  <c r="O10"/>
  <c r="U10" i="83"/>
  <c r="S10"/>
  <c r="T10"/>
  <c r="P10"/>
  <c r="N10"/>
  <c r="O10"/>
  <c r="T13"/>
  <c r="N13"/>
  <c r="U13" i="77"/>
  <c r="S13"/>
  <c r="T13"/>
  <c r="O13"/>
  <c r="N13"/>
  <c r="P13"/>
  <c r="S14" i="82"/>
  <c r="U14"/>
  <c r="T14"/>
  <c r="O14"/>
  <c r="N14"/>
  <c r="P14"/>
  <c r="T14" i="85"/>
  <c r="O14"/>
  <c r="S34" i="84"/>
  <c r="T34"/>
  <c r="U34"/>
  <c r="N34"/>
  <c r="P34"/>
  <c r="O34"/>
  <c r="E23" i="22"/>
  <c r="F14"/>
  <c r="M13"/>
  <c r="F20"/>
  <c r="M15"/>
  <c r="E14"/>
  <c r="K14"/>
  <c r="K16"/>
  <c r="E13"/>
  <c r="L20"/>
  <c r="M20"/>
  <c r="D23"/>
  <c r="M22"/>
  <c r="K65" i="85"/>
  <c r="M16" i="22"/>
  <c r="F15"/>
  <c r="L15"/>
  <c r="D21"/>
  <c r="D20"/>
  <c r="M21"/>
  <c r="E16"/>
  <c r="K15"/>
  <c r="D15"/>
  <c r="E21"/>
  <c r="K22"/>
  <c r="D22"/>
  <c r="K65" i="83"/>
  <c r="L22" i="22"/>
  <c r="L13"/>
  <c r="K21"/>
  <c r="K23"/>
  <c r="F23"/>
  <c r="L16"/>
  <c r="F16"/>
  <c r="L21"/>
  <c r="D13"/>
  <c r="F21"/>
  <c r="L23"/>
  <c r="K65" i="82"/>
  <c r="K65" i="77"/>
  <c r="E15" i="22"/>
  <c r="L14"/>
  <c r="F22"/>
  <c r="K20"/>
  <c r="E20"/>
  <c r="K13"/>
  <c r="F13"/>
  <c r="M23"/>
  <c r="M14"/>
  <c r="E22"/>
  <c r="D14"/>
  <c r="D16"/>
  <c r="K65" i="84"/>
  <c r="K65" i="81"/>
  <c r="N15" i="85"/>
  <c r="O15"/>
  <c r="S15"/>
  <c r="P15"/>
  <c r="U15"/>
  <c r="T15"/>
  <c r="N17" i="82"/>
  <c r="P17"/>
  <c r="S17"/>
  <c r="T17"/>
  <c r="U17"/>
  <c r="O17"/>
  <c r="O17" i="85"/>
  <c r="S17"/>
  <c r="U17"/>
  <c r="P17"/>
  <c r="T17"/>
  <c r="N17"/>
  <c r="O17" i="81"/>
  <c r="P17"/>
  <c r="P43" i="84"/>
  <c r="U43"/>
  <c r="P10" i="77"/>
  <c r="N10"/>
  <c r="U10"/>
  <c r="O10"/>
  <c r="T10"/>
  <c r="S10"/>
  <c r="F14" i="18"/>
  <c r="F22"/>
  <c r="K57" i="82"/>
  <c r="M15" i="18"/>
  <c r="D16"/>
  <c r="L23"/>
  <c r="M14"/>
  <c r="K14"/>
  <c r="E13"/>
  <c r="K57" i="84"/>
  <c r="M13" i="18"/>
  <c r="M23"/>
  <c r="E20"/>
  <c r="K57" i="85"/>
  <c r="K20" i="18"/>
  <c r="L15"/>
  <c r="L21"/>
  <c r="M21"/>
  <c r="D23"/>
  <c r="F15"/>
  <c r="L14"/>
  <c r="F20"/>
  <c r="F13"/>
  <c r="M22"/>
  <c r="E21"/>
  <c r="K21"/>
  <c r="D15"/>
  <c r="F23"/>
  <c r="K22"/>
  <c r="L13"/>
  <c r="L22"/>
  <c r="E14"/>
  <c r="E22"/>
  <c r="P13" i="85"/>
  <c r="S13"/>
  <c r="T13"/>
  <c r="O13"/>
  <c r="U13"/>
  <c r="N13"/>
  <c r="N13" i="84"/>
  <c r="O13"/>
  <c r="U13"/>
  <c r="P13"/>
  <c r="S13"/>
  <c r="T13"/>
  <c r="P14" i="77"/>
  <c r="U14"/>
  <c r="O34" i="85"/>
  <c r="P34"/>
  <c r="S34"/>
  <c r="P34" i="77"/>
  <c r="U34"/>
  <c r="O34"/>
  <c r="T34"/>
  <c r="N34"/>
  <c r="S34"/>
  <c r="D20" i="96"/>
  <c r="F23"/>
  <c r="K15"/>
  <c r="E21"/>
  <c r="M23"/>
  <c r="D14"/>
  <c r="L16"/>
  <c r="F22"/>
  <c r="E22"/>
  <c r="E13"/>
  <c r="K66" i="83"/>
  <c r="F14" i="96"/>
  <c r="M22"/>
  <c r="F16"/>
  <c r="L22"/>
  <c r="K66" i="77"/>
  <c r="M14" i="96"/>
  <c r="K20"/>
  <c r="E23"/>
  <c r="F13"/>
  <c r="D16"/>
  <c r="L21"/>
  <c r="K16"/>
  <c r="F21"/>
  <c r="K66" i="82"/>
  <c r="K23" i="96"/>
  <c r="E20"/>
  <c r="D15"/>
  <c r="D22"/>
  <c r="E14"/>
  <c r="M16"/>
  <c r="K22"/>
  <c r="F15"/>
  <c r="D21"/>
  <c r="L23"/>
  <c r="M13"/>
  <c r="L15"/>
  <c r="K21"/>
  <c r="M20"/>
  <c r="K14"/>
  <c r="L13"/>
  <c r="L20"/>
  <c r="K66" i="84"/>
  <c r="K13" i="96"/>
  <c r="E16"/>
  <c r="M21"/>
  <c r="K66" i="81"/>
  <c r="L14" i="96"/>
  <c r="F20"/>
  <c r="D23"/>
  <c r="D13"/>
  <c r="M15"/>
  <c r="E15"/>
  <c r="K66" i="85"/>
  <c r="O15" i="82"/>
  <c r="P15"/>
  <c r="S15"/>
  <c r="U15"/>
  <c r="N15"/>
  <c r="T15"/>
  <c r="S15" i="84"/>
  <c r="U15"/>
  <c r="O15"/>
  <c r="T15"/>
  <c r="P15"/>
  <c r="N15"/>
  <c r="U43" i="77"/>
  <c r="P43"/>
  <c r="T43"/>
  <c r="L13" i="56"/>
  <c r="K22"/>
  <c r="D16"/>
  <c r="K21" i="85"/>
  <c r="K14" i="56"/>
  <c r="D23"/>
  <c r="K21"/>
  <c r="K21" i="77"/>
  <c r="M16" i="56"/>
  <c r="M14"/>
  <c r="D14"/>
  <c r="E16"/>
  <c r="D22"/>
  <c r="F14"/>
  <c r="L14"/>
  <c r="K21" i="84"/>
  <c r="K13" i="56"/>
  <c r="E15"/>
  <c r="K21" i="81"/>
  <c r="K21" i="82"/>
  <c r="L15" i="56"/>
  <c r="E14"/>
  <c r="D21"/>
  <c r="L16"/>
  <c r="F16"/>
  <c r="M13"/>
  <c r="F13"/>
  <c r="K20"/>
  <c r="F15"/>
  <c r="M15"/>
  <c r="E13"/>
  <c r="D20"/>
  <c r="K15"/>
  <c r="K23"/>
  <c r="K16"/>
  <c r="D15"/>
  <c r="K21" i="83"/>
  <c r="D13" i="56"/>
  <c r="U10" i="84"/>
  <c r="T10"/>
  <c r="S10"/>
  <c r="N10"/>
  <c r="P10"/>
  <c r="O10"/>
  <c r="N10" i="85"/>
  <c r="S10"/>
  <c r="P10"/>
  <c r="U10"/>
  <c r="O10"/>
  <c r="U39"/>
  <c r="N39"/>
  <c r="P39"/>
  <c r="T39"/>
  <c r="O39"/>
  <c r="S39"/>
  <c r="T26" i="82"/>
  <c r="U26"/>
  <c r="P26"/>
  <c r="N26"/>
  <c r="O26"/>
  <c r="S26"/>
  <c r="S38" i="81"/>
  <c r="N38"/>
  <c r="P38"/>
  <c r="O38"/>
  <c r="U38"/>
  <c r="T38"/>
  <c r="T19" i="85"/>
  <c r="P19"/>
  <c r="U19"/>
  <c r="S19"/>
  <c r="O19"/>
  <c r="N19"/>
  <c r="S51" i="84"/>
  <c r="T51"/>
  <c r="U51"/>
  <c r="N51"/>
  <c r="O51"/>
  <c r="P51"/>
  <c r="N39" i="77"/>
  <c r="P39"/>
  <c r="O39"/>
  <c r="U39"/>
  <c r="T39"/>
  <c r="S39"/>
  <c r="T26" i="81"/>
  <c r="U26"/>
  <c r="P26"/>
  <c r="O26"/>
  <c r="S26"/>
  <c r="N26"/>
  <c r="T24" i="77"/>
  <c r="U24"/>
  <c r="S24"/>
  <c r="P24"/>
  <c r="O24"/>
  <c r="N24"/>
  <c r="T24" i="83"/>
  <c r="N24"/>
  <c r="O24"/>
  <c r="P24"/>
  <c r="U24"/>
  <c r="S24"/>
  <c r="U36" i="85"/>
  <c r="O36"/>
  <c r="S36"/>
  <c r="P36"/>
  <c r="N36"/>
  <c r="T36"/>
  <c r="O49" i="84"/>
  <c r="U49"/>
  <c r="T49"/>
  <c r="S49"/>
  <c r="N49"/>
  <c r="P49"/>
  <c r="O8" i="83"/>
  <c r="P8"/>
  <c r="S8"/>
  <c r="T8"/>
  <c r="N8"/>
  <c r="U8"/>
  <c r="O8" i="81"/>
  <c r="P8"/>
  <c r="S8"/>
  <c r="N8"/>
  <c r="U8"/>
  <c r="T8"/>
  <c r="N8" i="82"/>
  <c r="O8"/>
  <c r="U8"/>
  <c r="T8"/>
  <c r="P8"/>
  <c r="S8"/>
  <c r="F13" i="53"/>
  <c r="K21"/>
  <c r="D21"/>
  <c r="K22"/>
  <c r="D13"/>
  <c r="F14"/>
  <c r="M14"/>
  <c r="D14"/>
  <c r="D20"/>
  <c r="M15"/>
  <c r="F15"/>
  <c r="K12" i="85"/>
  <c r="M16" i="53"/>
  <c r="K12" i="81"/>
  <c r="L16" i="53"/>
  <c r="E13"/>
  <c r="L13"/>
  <c r="D23"/>
  <c r="L14"/>
  <c r="D15"/>
  <c r="K14"/>
  <c r="F16"/>
  <c r="M13"/>
  <c r="K12" i="77"/>
  <c r="D16" i="53"/>
  <c r="K16"/>
  <c r="K12" i="83"/>
  <c r="K20" i="53"/>
  <c r="E15"/>
  <c r="D22"/>
  <c r="K13"/>
  <c r="L15"/>
  <c r="K15"/>
  <c r="E16"/>
  <c r="K12" i="84"/>
  <c r="E14" i="53"/>
  <c r="K12" i="82"/>
  <c r="K23" i="53"/>
  <c r="N11" i="81"/>
  <c r="O11"/>
  <c r="S11"/>
  <c r="T11"/>
  <c r="P11"/>
  <c r="U11"/>
  <c r="O11" i="82"/>
  <c r="N11"/>
  <c r="T11"/>
  <c r="S11"/>
  <c r="P11"/>
  <c r="U11"/>
  <c r="P6" i="85"/>
  <c r="S6"/>
  <c r="O6"/>
  <c r="T6"/>
  <c r="N6"/>
  <c r="U6"/>
  <c r="U30" i="82"/>
  <c r="O30"/>
  <c r="N30"/>
  <c r="T30"/>
  <c r="S30"/>
  <c r="P30"/>
  <c r="U59" i="77"/>
  <c r="P59"/>
  <c r="T59"/>
  <c r="S59"/>
  <c r="N59"/>
  <c r="O59"/>
  <c r="U53"/>
  <c r="N53"/>
  <c r="S53"/>
  <c r="T53"/>
  <c r="P53"/>
  <c r="O53"/>
  <c r="N22"/>
  <c r="O22"/>
  <c r="U22"/>
  <c r="P22"/>
  <c r="S22"/>
  <c r="T22"/>
  <c r="P58" i="81"/>
  <c r="O58"/>
  <c r="U58"/>
  <c r="S58"/>
  <c r="N58"/>
  <c r="T58"/>
  <c r="U58" i="84"/>
  <c r="T58"/>
  <c r="P58"/>
  <c r="S58"/>
  <c r="N58"/>
  <c r="O58"/>
  <c r="S61"/>
  <c r="T61"/>
  <c r="P61"/>
  <c r="U61"/>
  <c r="O61"/>
  <c r="N61"/>
  <c r="U50" i="81"/>
  <c r="P50"/>
  <c r="T50"/>
  <c r="N50"/>
  <c r="O50"/>
  <c r="S50"/>
  <c r="T5" i="84"/>
  <c r="N5"/>
  <c r="S5"/>
  <c r="O5"/>
  <c r="P5"/>
  <c r="U5"/>
  <c r="U5" i="85"/>
  <c r="N5"/>
  <c r="S5"/>
  <c r="P5"/>
  <c r="O5"/>
  <c r="T5"/>
  <c r="P38" i="82"/>
  <c r="T38"/>
  <c r="S38"/>
  <c r="N38"/>
  <c r="O38"/>
  <c r="U38"/>
  <c r="S38" i="77"/>
  <c r="O38"/>
  <c r="P38"/>
  <c r="U38"/>
  <c r="T38"/>
  <c r="N38"/>
  <c r="U38" i="84"/>
  <c r="S38"/>
  <c r="O38"/>
  <c r="P38"/>
  <c r="N38"/>
  <c r="T38"/>
  <c r="N19" i="77"/>
  <c r="U19"/>
  <c r="P19"/>
  <c r="S19"/>
  <c r="T19"/>
  <c r="O19"/>
  <c r="N37" i="81"/>
  <c r="T37"/>
  <c r="O37"/>
  <c r="P37"/>
  <c r="U37"/>
  <c r="S37"/>
  <c r="U37" i="84"/>
  <c r="T37"/>
  <c r="O37"/>
  <c r="S37"/>
  <c r="N37"/>
  <c r="P37"/>
  <c r="S39" i="81"/>
  <c r="T39"/>
  <c r="U39"/>
  <c r="P39"/>
  <c r="O39"/>
  <c r="N39"/>
  <c r="U26" i="85"/>
  <c r="O26"/>
  <c r="N26"/>
  <c r="S26"/>
  <c r="T26"/>
  <c r="P26"/>
  <c r="O51" i="77"/>
  <c r="S51"/>
  <c r="P51"/>
  <c r="T51"/>
  <c r="N51"/>
  <c r="U51"/>
  <c r="T8" i="85"/>
  <c r="N8"/>
  <c r="O8"/>
  <c r="S8"/>
  <c r="U8"/>
  <c r="P8"/>
  <c r="T11" i="83"/>
  <c r="S11"/>
  <c r="P11"/>
  <c r="N11"/>
  <c r="U11"/>
  <c r="O11"/>
  <c r="O11" i="84"/>
  <c r="U11"/>
  <c r="S11"/>
  <c r="T11"/>
  <c r="P11"/>
  <c r="N11"/>
  <c r="P11" i="77"/>
  <c r="U11"/>
  <c r="O11"/>
  <c r="N11"/>
  <c r="T11"/>
  <c r="S11"/>
  <c r="T30" i="85"/>
  <c r="O30"/>
  <c r="N30"/>
  <c r="P30"/>
  <c r="S30"/>
  <c r="U30"/>
  <c r="U30" i="84"/>
  <c r="N30"/>
  <c r="S30"/>
  <c r="P30"/>
  <c r="O30"/>
  <c r="T30"/>
  <c r="S18" i="77"/>
  <c r="N18"/>
  <c r="U18"/>
  <c r="T18"/>
  <c r="P18"/>
  <c r="O18"/>
  <c r="O59" i="84"/>
  <c r="N59"/>
  <c r="T59"/>
  <c r="S59"/>
  <c r="U59"/>
  <c r="P59"/>
  <c r="N18"/>
  <c r="T18"/>
  <c r="P18"/>
  <c r="U18"/>
  <c r="O18"/>
  <c r="S18"/>
  <c r="T18" i="82"/>
  <c r="P18"/>
  <c r="N18"/>
  <c r="U18"/>
  <c r="S18"/>
  <c r="O18"/>
  <c r="O22" i="84"/>
  <c r="T22"/>
  <c r="U22"/>
  <c r="N22"/>
  <c r="P22"/>
  <c r="S22"/>
  <c r="U58" i="83"/>
  <c r="N58"/>
  <c r="P58"/>
  <c r="O58"/>
  <c r="T58"/>
  <c r="S58"/>
  <c r="U53" i="84"/>
  <c r="N53"/>
  <c r="O53"/>
  <c r="T53"/>
  <c r="S53"/>
  <c r="P53"/>
  <c r="S61" i="81"/>
  <c r="P61"/>
  <c r="T61"/>
  <c r="U61"/>
  <c r="O61"/>
  <c r="N61"/>
  <c r="S61" i="82"/>
  <c r="O61"/>
  <c r="T61"/>
  <c r="N61"/>
  <c r="P61"/>
  <c r="U61"/>
  <c r="P57" i="83"/>
  <c r="O57"/>
  <c r="S57"/>
  <c r="U57"/>
  <c r="T57"/>
  <c r="N57"/>
  <c r="U50" i="84"/>
  <c r="O50"/>
  <c r="P50"/>
  <c r="T50"/>
  <c r="N50"/>
  <c r="S50"/>
  <c r="N5" i="82"/>
  <c r="O5"/>
  <c r="U5"/>
  <c r="T5"/>
  <c r="S5"/>
  <c r="P5"/>
  <c r="S5" i="81"/>
  <c r="T5"/>
  <c r="U5"/>
  <c r="O5"/>
  <c r="P5"/>
  <c r="N5"/>
  <c r="N22" i="83"/>
  <c r="P22"/>
  <c r="O22"/>
  <c r="T22"/>
  <c r="U22"/>
  <c r="S22"/>
  <c r="U38" i="85"/>
  <c r="N38"/>
  <c r="O38"/>
  <c r="S38"/>
  <c r="T38"/>
  <c r="P38"/>
  <c r="N38" i="83"/>
  <c r="O38"/>
  <c r="P38"/>
  <c r="U38"/>
  <c r="T38"/>
  <c r="S38"/>
  <c r="N32" i="85"/>
  <c r="T32"/>
  <c r="O32"/>
  <c r="S32"/>
  <c r="P32"/>
  <c r="U32"/>
  <c r="U32" i="83"/>
  <c r="N32"/>
  <c r="S32"/>
  <c r="T32"/>
  <c r="P32"/>
  <c r="O32"/>
  <c r="T32" i="77"/>
  <c r="O32"/>
  <c r="P32"/>
  <c r="N32"/>
  <c r="S32"/>
  <c r="U32"/>
  <c r="U39" i="82"/>
  <c r="P39"/>
  <c r="T39"/>
  <c r="N39"/>
  <c r="O39"/>
  <c r="S39"/>
  <c r="P24" i="85"/>
  <c r="S24"/>
  <c r="U24"/>
  <c r="O24"/>
  <c r="T24"/>
  <c r="N24"/>
  <c r="T24" i="81"/>
  <c r="U24"/>
  <c r="O24"/>
  <c r="S24"/>
  <c r="P24"/>
  <c r="N24"/>
  <c r="U36" i="77"/>
  <c r="N36"/>
  <c r="T36"/>
  <c r="P36"/>
  <c r="S36"/>
  <c r="O36"/>
  <c r="P36" i="81"/>
  <c r="S36"/>
  <c r="T36"/>
  <c r="U36"/>
  <c r="O36"/>
  <c r="N36"/>
  <c r="S19"/>
  <c r="U19"/>
  <c r="N19"/>
  <c r="T19"/>
  <c r="O19"/>
  <c r="P19"/>
  <c r="S49" i="77"/>
  <c r="T49"/>
  <c r="U49"/>
  <c r="O49"/>
  <c r="P49"/>
  <c r="N49"/>
  <c r="O51" i="85"/>
  <c r="U51"/>
  <c r="S51"/>
  <c r="P51"/>
  <c r="N51"/>
  <c r="T51"/>
  <c r="N8" i="84"/>
  <c r="U8"/>
  <c r="P8"/>
  <c r="T8"/>
  <c r="O8"/>
  <c r="S8"/>
  <c r="O6" i="77"/>
  <c r="N6"/>
  <c r="S6"/>
  <c r="P6"/>
  <c r="T6"/>
  <c r="U6"/>
  <c r="O6" i="83"/>
  <c r="P6"/>
  <c r="S6"/>
  <c r="U6"/>
  <c r="N6"/>
  <c r="T6"/>
  <c r="S18" i="81"/>
  <c r="U18"/>
  <c r="T18"/>
  <c r="P18"/>
  <c r="O18"/>
  <c r="N18"/>
  <c r="U58" i="85"/>
  <c r="O58"/>
  <c r="P58"/>
  <c r="T58"/>
  <c r="S58"/>
  <c r="N58"/>
  <c r="O59" i="83"/>
  <c r="S59"/>
  <c r="U59"/>
  <c r="N59"/>
  <c r="P59"/>
  <c r="T59"/>
  <c r="S53" i="81"/>
  <c r="U53"/>
  <c r="T53"/>
  <c r="O53"/>
  <c r="N53"/>
  <c r="P53"/>
  <c r="U57"/>
  <c r="N57"/>
  <c r="T57"/>
  <c r="S57"/>
  <c r="O57"/>
  <c r="P57"/>
  <c r="T57" i="77"/>
  <c r="S57"/>
  <c r="N57"/>
  <c r="U57"/>
  <c r="P57"/>
  <c r="O57"/>
  <c r="O50" i="83"/>
  <c r="S50"/>
  <c r="U50"/>
  <c r="N50"/>
  <c r="T50"/>
  <c r="P50"/>
  <c r="P50" i="82"/>
  <c r="O50"/>
  <c r="U50"/>
  <c r="S50"/>
  <c r="N50"/>
  <c r="T50"/>
  <c r="P5" i="83"/>
  <c r="U5"/>
  <c r="S5"/>
  <c r="O5"/>
  <c r="T5"/>
  <c r="N5"/>
  <c r="T5" i="77"/>
  <c r="U5"/>
  <c r="S5"/>
  <c r="P5"/>
  <c r="O5"/>
  <c r="N5"/>
  <c r="S22" i="85"/>
  <c r="T22"/>
  <c r="U22"/>
  <c r="N22"/>
  <c r="O22"/>
  <c r="P22"/>
  <c r="O51" i="83"/>
  <c r="T51"/>
  <c r="U51"/>
  <c r="S51"/>
  <c r="N51"/>
  <c r="P51"/>
  <c r="O32" i="82"/>
  <c r="P32"/>
  <c r="T32"/>
  <c r="U32"/>
  <c r="S32"/>
  <c r="N32"/>
  <c r="P37" i="77"/>
  <c r="S37"/>
  <c r="O37"/>
  <c r="N37"/>
  <c r="T37"/>
  <c r="U37"/>
  <c r="S26"/>
  <c r="T26"/>
  <c r="P26"/>
  <c r="U26"/>
  <c r="N26"/>
  <c r="O26"/>
  <c r="U36" i="83"/>
  <c r="N36"/>
  <c r="T36"/>
  <c r="P36"/>
  <c r="O36"/>
  <c r="S36"/>
  <c r="U49" i="82"/>
  <c r="O49"/>
  <c r="T49"/>
  <c r="P49"/>
  <c r="S49"/>
  <c r="N49"/>
  <c r="U8" i="77"/>
  <c r="N8"/>
  <c r="O8"/>
  <c r="S8"/>
  <c r="T8"/>
  <c r="P8"/>
  <c r="T6" i="82"/>
  <c r="O6"/>
  <c r="N6"/>
  <c r="P6"/>
  <c r="S6"/>
  <c r="U6"/>
  <c r="T6" i="84"/>
  <c r="N6"/>
  <c r="S6"/>
  <c r="U6"/>
  <c r="P6"/>
  <c r="O6"/>
  <c r="T30" i="81"/>
  <c r="N30"/>
  <c r="U30"/>
  <c r="O30"/>
  <c r="S30"/>
  <c r="P30"/>
  <c r="N22"/>
  <c r="U22"/>
  <c r="S22"/>
  <c r="P22"/>
  <c r="T22"/>
  <c r="O22"/>
  <c r="S53" i="82"/>
  <c r="N53"/>
  <c r="O53"/>
  <c r="U53"/>
  <c r="P53"/>
  <c r="T53"/>
  <c r="S18" i="83"/>
  <c r="O18"/>
  <c r="U18"/>
  <c r="T18"/>
  <c r="P18"/>
  <c r="N18"/>
  <c r="U59" i="85"/>
  <c r="S59"/>
  <c r="T59"/>
  <c r="P59"/>
  <c r="N59"/>
  <c r="O59"/>
  <c r="P53" i="83"/>
  <c r="N53"/>
  <c r="O53"/>
  <c r="T53"/>
  <c r="S53"/>
  <c r="U53"/>
  <c r="S59" i="81"/>
  <c r="O59"/>
  <c r="U59"/>
  <c r="T59"/>
  <c r="N59"/>
  <c r="P59"/>
  <c r="P50" i="85"/>
  <c r="U50"/>
  <c r="N50"/>
  <c r="S50"/>
  <c r="O50"/>
  <c r="T50"/>
  <c r="T21" i="82" l="1"/>
  <c r="U21"/>
  <c r="N21"/>
  <c r="S21"/>
  <c r="O21"/>
  <c r="P21"/>
  <c r="P21" i="84"/>
  <c r="S21"/>
  <c r="O21"/>
  <c r="U21"/>
  <c r="T21"/>
  <c r="N21"/>
  <c r="U21" i="77"/>
  <c r="O21"/>
  <c r="S21"/>
  <c r="T21"/>
  <c r="N21"/>
  <c r="P21"/>
  <c r="N21" i="85"/>
  <c r="T21"/>
  <c r="U21"/>
  <c r="O21"/>
  <c r="P21"/>
  <c r="S21"/>
  <c r="P66" i="82"/>
  <c r="N66"/>
  <c r="O66"/>
  <c r="U66"/>
  <c r="T66"/>
  <c r="S66"/>
  <c r="O65"/>
  <c r="U65"/>
  <c r="S65"/>
  <c r="T65"/>
  <c r="N65"/>
  <c r="P65"/>
  <c r="S65" i="83"/>
  <c r="N65"/>
  <c r="U65"/>
  <c r="T65"/>
  <c r="O65"/>
  <c r="P65"/>
  <c r="O54"/>
  <c r="P54"/>
  <c r="T54"/>
  <c r="S54"/>
  <c r="N54"/>
  <c r="U54"/>
  <c r="U54" i="82"/>
  <c r="N54"/>
  <c r="T54"/>
  <c r="S54"/>
  <c r="P54"/>
  <c r="O54"/>
  <c r="T64" i="81"/>
  <c r="P64"/>
  <c r="S64"/>
  <c r="U64"/>
  <c r="O64"/>
  <c r="N64"/>
  <c r="P63" i="85"/>
  <c r="O63"/>
  <c r="S63"/>
  <c r="T63"/>
  <c r="N63"/>
  <c r="U63"/>
  <c r="P21" i="83"/>
  <c r="S21"/>
  <c r="T21"/>
  <c r="U21"/>
  <c r="N21"/>
  <c r="O21"/>
  <c r="T66" i="85"/>
  <c r="O66"/>
  <c r="S66"/>
  <c r="N66"/>
  <c r="U66"/>
  <c r="P66"/>
  <c r="O57"/>
  <c r="P57"/>
  <c r="T57"/>
  <c r="U57"/>
  <c r="N57"/>
  <c r="S57"/>
  <c r="U57" i="84"/>
  <c r="N57"/>
  <c r="O57"/>
  <c r="P57"/>
  <c r="T57"/>
  <c r="S57"/>
  <c r="T65" i="77"/>
  <c r="P65"/>
  <c r="S65"/>
  <c r="U65"/>
  <c r="N65"/>
  <c r="O65"/>
  <c r="S54" i="84"/>
  <c r="P54"/>
  <c r="O54"/>
  <c r="U54"/>
  <c r="T54"/>
  <c r="N54"/>
  <c r="T64" i="83"/>
  <c r="P64"/>
  <c r="O64"/>
  <c r="N64"/>
  <c r="S64"/>
  <c r="U64"/>
  <c r="T53" i="85"/>
  <c r="U53"/>
  <c r="S53"/>
  <c r="O53"/>
  <c r="P53"/>
  <c r="N53"/>
  <c r="O62" i="83"/>
  <c r="N62"/>
  <c r="T62"/>
  <c r="P62"/>
  <c r="S62"/>
  <c r="U62"/>
  <c r="N62" i="77"/>
  <c r="P62"/>
  <c r="S62"/>
  <c r="O62"/>
  <c r="U62"/>
  <c r="T62"/>
  <c r="T67" i="83"/>
  <c r="O67"/>
  <c r="S67"/>
  <c r="U67"/>
  <c r="P67"/>
  <c r="N67"/>
  <c r="S67" i="84"/>
  <c r="T67"/>
  <c r="N67"/>
  <c r="O67"/>
  <c r="P67"/>
  <c r="U67"/>
  <c r="O67" i="85"/>
  <c r="T67"/>
  <c r="P67"/>
  <c r="U67"/>
  <c r="N67"/>
  <c r="S67"/>
  <c r="S67" i="82"/>
  <c r="T67"/>
  <c r="P67"/>
  <c r="U67"/>
  <c r="N67"/>
  <c r="O67"/>
  <c r="O63" i="83"/>
  <c r="T63"/>
  <c r="N63"/>
  <c r="P63"/>
  <c r="S63"/>
  <c r="U63"/>
  <c r="S63" i="81"/>
  <c r="O63"/>
  <c r="U63"/>
  <c r="T63"/>
  <c r="N63"/>
  <c r="P63"/>
  <c r="S63" i="84"/>
  <c r="N63"/>
  <c r="U63"/>
  <c r="T63"/>
  <c r="P63"/>
  <c r="O63"/>
  <c r="S66" i="81"/>
  <c r="T66"/>
  <c r="P66"/>
  <c r="O66"/>
  <c r="N66"/>
  <c r="U66"/>
  <c r="T66" i="84"/>
  <c r="P66"/>
  <c r="S66"/>
  <c r="N66"/>
  <c r="U66"/>
  <c r="O66"/>
  <c r="P66" i="83"/>
  <c r="U66"/>
  <c r="T66"/>
  <c r="O66"/>
  <c r="N66"/>
  <c r="S66"/>
  <c r="N57" i="82"/>
  <c r="P57"/>
  <c r="S57"/>
  <c r="O57"/>
  <c r="U57"/>
  <c r="T57"/>
  <c r="P65" i="84"/>
  <c r="U65"/>
  <c r="S65"/>
  <c r="N65"/>
  <c r="O65"/>
  <c r="T65"/>
  <c r="N54" i="85"/>
  <c r="T54"/>
  <c r="O54"/>
  <c r="S54"/>
  <c r="U54"/>
  <c r="P54"/>
  <c r="T54" i="77"/>
  <c r="S54"/>
  <c r="P54"/>
  <c r="N54"/>
  <c r="O54"/>
  <c r="U54"/>
  <c r="O64"/>
  <c r="U64"/>
  <c r="T64"/>
  <c r="N64"/>
  <c r="P64"/>
  <c r="S64"/>
  <c r="N67" i="81"/>
  <c r="T67"/>
  <c r="O67"/>
  <c r="S67"/>
  <c r="U67"/>
  <c r="P67"/>
  <c r="T67" i="77"/>
  <c r="S67"/>
  <c r="P67"/>
  <c r="O67"/>
  <c r="U67"/>
  <c r="N67"/>
  <c r="S63"/>
  <c r="N63"/>
  <c r="T63"/>
  <c r="P63"/>
  <c r="O63"/>
  <c r="U63"/>
  <c r="N21" i="81"/>
  <c r="U21"/>
  <c r="S21"/>
  <c r="T21"/>
  <c r="O21"/>
  <c r="P21"/>
  <c r="S66" i="77"/>
  <c r="P66"/>
  <c r="T66"/>
  <c r="O66"/>
  <c r="N66"/>
  <c r="U66"/>
  <c r="U65" i="81"/>
  <c r="T65"/>
  <c r="S65"/>
  <c r="P65"/>
  <c r="O65"/>
  <c r="N65"/>
  <c r="U65" i="85"/>
  <c r="S65"/>
  <c r="N65"/>
  <c r="T65"/>
  <c r="P65"/>
  <c r="O65"/>
  <c r="O54" i="81"/>
  <c r="S54"/>
  <c r="T54"/>
  <c r="P54"/>
  <c r="U54"/>
  <c r="N54"/>
  <c r="S64" i="82"/>
  <c r="N64"/>
  <c r="T64"/>
  <c r="O64"/>
  <c r="P64"/>
  <c r="U64"/>
  <c r="P64" i="85"/>
  <c r="U64"/>
  <c r="O64"/>
  <c r="T64"/>
  <c r="N64"/>
  <c r="S64"/>
  <c r="O64" i="84"/>
  <c r="N64"/>
  <c r="P64"/>
  <c r="S64"/>
  <c r="U64"/>
  <c r="T64"/>
  <c r="U62" i="82"/>
  <c r="N62"/>
  <c r="T62"/>
  <c r="P62"/>
  <c r="O62"/>
  <c r="S62"/>
  <c r="N62" i="85"/>
  <c r="O62"/>
  <c r="P62"/>
  <c r="T62"/>
  <c r="S62"/>
  <c r="U62"/>
  <c r="P62" i="81"/>
  <c r="O62"/>
  <c r="T62"/>
  <c r="S62"/>
  <c r="U62"/>
  <c r="N62"/>
  <c r="U62" i="84"/>
  <c r="N62"/>
  <c r="O62"/>
  <c r="T62"/>
  <c r="S62"/>
  <c r="P62"/>
  <c r="P63" i="82"/>
  <c r="O63"/>
  <c r="S63"/>
  <c r="U63"/>
  <c r="N63"/>
  <c r="T63"/>
  <c r="S12" i="85"/>
  <c r="T12"/>
  <c r="N12"/>
  <c r="U12"/>
  <c r="P12"/>
  <c r="O12"/>
  <c r="P12" i="82"/>
  <c r="S12"/>
  <c r="O12"/>
  <c r="U12"/>
  <c r="N12"/>
  <c r="T12"/>
  <c r="U12" i="81"/>
  <c r="N12"/>
  <c r="T12"/>
  <c r="P12"/>
  <c r="S12"/>
  <c r="O12"/>
  <c r="T12" i="84"/>
  <c r="P12"/>
  <c r="O12"/>
  <c r="N12"/>
  <c r="U12"/>
  <c r="S12"/>
  <c r="U12" i="83"/>
  <c r="S12"/>
  <c r="P12"/>
  <c r="N12"/>
  <c r="O12"/>
  <c r="T12"/>
  <c r="O12" i="77"/>
  <c r="T12"/>
  <c r="P12"/>
  <c r="N12"/>
  <c r="S12"/>
  <c r="U12"/>
</calcChain>
</file>

<file path=xl/sharedStrings.xml><?xml version="1.0" encoding="utf-8"?>
<sst xmlns="http://schemas.openxmlformats.org/spreadsheetml/2006/main" count="7858" uniqueCount="299">
  <si>
    <t>Sheet</t>
  </si>
  <si>
    <t>UNIT COST</t>
  </si>
  <si>
    <t>COST EFFICIENCY</t>
  </si>
  <si>
    <t>Short Name</t>
  </si>
  <si>
    <t>Load Reduction Model</t>
  </si>
  <si>
    <t>Scenario</t>
  </si>
  <si>
    <t>10th percentile</t>
  </si>
  <si>
    <t>mean</t>
  </si>
  <si>
    <t>median</t>
  </si>
  <si>
    <t>90th percentile</t>
  </si>
  <si>
    <t>Initial Cost</t>
  </si>
  <si>
    <t>Total Annualized Cost</t>
  </si>
  <si>
    <t>Annual Recurring Costs</t>
  </si>
  <si>
    <t>Lifespan</t>
  </si>
  <si>
    <t>Rate</t>
  </si>
  <si>
    <t>years</t>
  </si>
  <si>
    <t>%</t>
  </si>
  <si>
    <t>TreePlant</t>
  </si>
  <si>
    <t>Water Control Structures</t>
  </si>
  <si>
    <t>WaterContStruc</t>
  </si>
  <si>
    <t>Wetland Restoration</t>
  </si>
  <si>
    <t>Abandoned Mine Reclamation</t>
  </si>
  <si>
    <t>AbanMineRec</t>
  </si>
  <si>
    <t>BioSwale</t>
  </si>
  <si>
    <t>DryPonds</t>
  </si>
  <si>
    <t>ExtDryPonds</t>
  </si>
  <si>
    <t>Erosion and Sediment Control</t>
  </si>
  <si>
    <t>EandS</t>
  </si>
  <si>
    <t>EandSext</t>
  </si>
  <si>
    <t>Forest Conservation</t>
  </si>
  <si>
    <t>ForestCon</t>
  </si>
  <si>
    <t>Impervious Urban Surface Reduction</t>
  </si>
  <si>
    <t>ImpSurRed</t>
  </si>
  <si>
    <t>RetroSWM</t>
  </si>
  <si>
    <t>Street Sweeping 25 times a year-acres (formerly called Street Sweeping Mechanical Monthly)</t>
  </si>
  <si>
    <t>StreetSweep</t>
  </si>
  <si>
    <t>Filter</t>
  </si>
  <si>
    <t>Urban Forest Buffers</t>
  </si>
  <si>
    <t>ForestBufUrban</t>
  </si>
  <si>
    <t>Infiltration</t>
  </si>
  <si>
    <t>InfiltWithSV</t>
  </si>
  <si>
    <t>Urban Nutrient Management</t>
  </si>
  <si>
    <t>UrbanNutMan</t>
  </si>
  <si>
    <t>UrbStrmRest</t>
  </si>
  <si>
    <t>Urban Tree Planting; Urban Tree Canopy</t>
  </si>
  <si>
    <t>UrbanTreePlant</t>
  </si>
  <si>
    <t>WetPondWetland</t>
  </si>
  <si>
    <t>Forest Harvesting Practices</t>
  </si>
  <si>
    <t>ForHarvestBMP</t>
  </si>
  <si>
    <t>Septic</t>
  </si>
  <si>
    <t>SepticConnect</t>
  </si>
  <si>
    <t>SepticDenitrify</t>
  </si>
  <si>
    <t>SepticPump</t>
  </si>
  <si>
    <t>Model</t>
  </si>
  <si>
    <t>P5.3.2</t>
  </si>
  <si>
    <t>Combo</t>
  </si>
  <si>
    <t>MAST</t>
  </si>
  <si>
    <t>Manure</t>
  </si>
  <si>
    <t>Manure Transport</t>
  </si>
  <si>
    <t xml:space="preserve">  -</t>
  </si>
  <si>
    <t>Ag</t>
  </si>
  <si>
    <t>WWTP</t>
  </si>
  <si>
    <t>Set Permitted Load</t>
  </si>
  <si>
    <t>WWLoadReduction</t>
  </si>
  <si>
    <t>Non Urban Stream Restoration; Shoreline Erosion Control</t>
  </si>
  <si>
    <t>Sorbing Materials in Ag Ditches</t>
  </si>
  <si>
    <t>Erosion and Sediment Control on Extractive, excess applied to all other pervious urban</t>
  </si>
  <si>
    <t>Urban Stream Restoration; Shoreline Erosion Control; Regenerative Stormwater Conveyance</t>
  </si>
  <si>
    <t>Sector</t>
  </si>
  <si>
    <t>Urban</t>
  </si>
  <si>
    <t>Forest</t>
  </si>
  <si>
    <t>BMP</t>
  </si>
  <si>
    <t>BMP Short Name</t>
  </si>
  <si>
    <t>Alternative Crops</t>
  </si>
  <si>
    <t>CarSeqAltCrop</t>
  </si>
  <si>
    <t>Animal Waste Management System</t>
  </si>
  <si>
    <t>AWMS</t>
  </si>
  <si>
    <t>Barnyard Runoff Control</t>
  </si>
  <si>
    <t>BarnRunoffCont</t>
  </si>
  <si>
    <t>Unit</t>
  </si>
  <si>
    <t>Cover Crop Standard Drilled Wheat</t>
  </si>
  <si>
    <t>CoverCropSDW</t>
  </si>
  <si>
    <t>Cropland Irrigation Management</t>
  </si>
  <si>
    <t>Cropirrmgmt</t>
  </si>
  <si>
    <t>Dairy Manure Injection</t>
  </si>
  <si>
    <t>LiquidInjection</t>
  </si>
  <si>
    <t>Decision Agriculture</t>
  </si>
  <si>
    <t>DecisionAg</t>
  </si>
  <si>
    <t>Enhanced Nutrient Management</t>
  </si>
  <si>
    <t>EnhancedNM</t>
  </si>
  <si>
    <t>Forest Buffers</t>
  </si>
  <si>
    <t>ForestBuffers</t>
  </si>
  <si>
    <t>Grass Buffers; Vegetated Open Channel - Agriculture</t>
  </si>
  <si>
    <t>GrassBuffers</t>
  </si>
  <si>
    <t>Heavy Use Poultry Area Concrete Pads</t>
  </si>
  <si>
    <t>ConcretePads</t>
  </si>
  <si>
    <t>Horse Pasture Management</t>
  </si>
  <si>
    <t>HorsePasMan</t>
  </si>
  <si>
    <t>Irrigation Water Capture Reuse</t>
  </si>
  <si>
    <t>CaptureReuse</t>
  </si>
  <si>
    <t>Land Retirement to hay without nutrients (HEL)</t>
  </si>
  <si>
    <t>LandRetireHyo</t>
  </si>
  <si>
    <t>Land Retirement to pasture (HEL)</t>
  </si>
  <si>
    <t>LandRetirePas</t>
  </si>
  <si>
    <t>Loafing Lot Management</t>
  </si>
  <si>
    <t>LoafLot</t>
  </si>
  <si>
    <t>Mortality Composters</t>
  </si>
  <si>
    <t>MortalityComp</t>
  </si>
  <si>
    <t>NonUrbStrmRest</t>
  </si>
  <si>
    <t>Nutrient Management</t>
  </si>
  <si>
    <t>NutMan</t>
  </si>
  <si>
    <t>Off Stream Watering Without Fencing</t>
  </si>
  <si>
    <t>OSWnoFence</t>
  </si>
  <si>
    <t>Poultry Litter Injection</t>
  </si>
  <si>
    <t>PoultryInjection</t>
  </si>
  <si>
    <t>Poultry Litter Treatment (alum, for example)</t>
  </si>
  <si>
    <t>Alum</t>
  </si>
  <si>
    <t xml:space="preserve">Poultry Phytase </t>
  </si>
  <si>
    <t xml:space="preserve">PoultryPhytase </t>
  </si>
  <si>
    <t>Precision Intensive Rotational Grazing</t>
  </si>
  <si>
    <t>UpPrecIntRotGraze</t>
  </si>
  <si>
    <t>Prescribed Grazing</t>
  </si>
  <si>
    <t>PrecRotGrazing</t>
  </si>
  <si>
    <t>Soil Conservation and Water Quality Plans</t>
  </si>
  <si>
    <t>ConPlan</t>
  </si>
  <si>
    <t>DitchFilter</t>
  </si>
  <si>
    <t>Stream Access Control with Fencing</t>
  </si>
  <si>
    <t>PastFence</t>
  </si>
  <si>
    <t>TN</t>
  </si>
  <si>
    <t>TP</t>
  </si>
  <si>
    <t>TSS</t>
  </si>
  <si>
    <t>2025 Phase II WIP MAST</t>
  </si>
  <si>
    <t>$ per delivered pound removed</t>
  </si>
  <si>
    <t>delivered pounds removed per $1,000</t>
  </si>
  <si>
    <t>Practice Name</t>
  </si>
  <si>
    <t>Page</t>
  </si>
  <si>
    <t>← Summary</t>
  </si>
  <si>
    <t>pounds per $1,000</t>
  </si>
  <si>
    <t>PermPavSVUDAB</t>
  </si>
  <si>
    <t>BioRetUDAB</t>
  </si>
  <si>
    <t>VegOpChanNoUDAB</t>
  </si>
  <si>
    <t>Septic Connection ― Critical Area</t>
  </si>
  <si>
    <t>Tree Planting; Vegetative Environmental Buffers ― Poultry</t>
  </si>
  <si>
    <t>Septic Denitrification ― Critical Area</t>
  </si>
  <si>
    <t>Septic Pumping ― Critical Area</t>
  </si>
  <si>
    <t>Septic Connection ― 1,000 feet of stream</t>
  </si>
  <si>
    <t>Septic Denitrification ― 1,000 feet of stream</t>
  </si>
  <si>
    <t>Septic Pumping ― 1,000 feet of stream</t>
  </si>
  <si>
    <t>36a</t>
  </si>
  <si>
    <t>36b</t>
  </si>
  <si>
    <t>36c</t>
  </si>
  <si>
    <t>37a</t>
  </si>
  <si>
    <t>37b</t>
  </si>
  <si>
    <t>37c</t>
  </si>
  <si>
    <t>38a</t>
  </si>
  <si>
    <t>38b</t>
  </si>
  <si>
    <t>38c</t>
  </si>
  <si>
    <t>Septic Connection ― other</t>
  </si>
  <si>
    <t>Septic Denitrification ― other</t>
  </si>
  <si>
    <t>Septic Pumping ― other</t>
  </si>
  <si>
    <t>EPA</t>
  </si>
  <si>
    <t>Annual</t>
  </si>
  <si>
    <t>Initial</t>
  </si>
  <si>
    <t>Life</t>
  </si>
  <si>
    <t>MDA</t>
  </si>
  <si>
    <t>Total</t>
  </si>
  <si>
    <t>Annualized</t>
  </si>
  <si>
    <t>Wieland</t>
  </si>
  <si>
    <t>WetlandRestore</t>
  </si>
  <si>
    <t>costs estimates</t>
  </si>
  <si>
    <t>BMP Type</t>
  </si>
  <si>
    <t>landuse change</t>
  </si>
  <si>
    <t>lu change
u/l treatment</t>
  </si>
  <si>
    <t>septic</t>
  </si>
  <si>
    <t>load reduction</t>
  </si>
  <si>
    <t>effectiveness</t>
  </si>
  <si>
    <t>efficiency applied</t>
  </si>
  <si>
    <t>efficiency treated</t>
  </si>
  <si>
    <t>animal</t>
  </si>
  <si>
    <t>direct reduction</t>
  </si>
  <si>
    <t>manure transport</t>
  </si>
  <si>
    <t>Low</t>
  </si>
  <si>
    <t>Mid</t>
  </si>
  <si>
    <t>High</t>
  </si>
  <si>
    <t>acre</t>
  </si>
  <si>
    <t>system</t>
  </si>
  <si>
    <t>ton</t>
  </si>
  <si>
    <t>ConserveTollTotAcres</t>
  </si>
  <si>
    <t>Conservation Tillage - Total Acres</t>
  </si>
  <si>
    <t>foot</t>
  </si>
  <si>
    <t>per pound</t>
  </si>
  <si>
    <t>Cost</t>
  </si>
  <si>
    <t>Load Reduction</t>
  </si>
  <si>
    <t>Annual Unit Cost</t>
  </si>
  <si>
    <t>Cost Per Pound Reduced</t>
  </si>
  <si>
    <t>BMP Reduction Estimates for Delivered TN</t>
  </si>
  <si>
    <t>notes: King &amp; Hagan figures are expressed in units of "impervious acres treated". This provides a unit of comparison that is more uniform than "acres treated", which assumes a proportion of impervious to pervious coverage.</t>
  </si>
  <si>
    <t>notes:</t>
  </si>
  <si>
    <t>BMP Reduction Estimates for Edge-of-Stream TN</t>
  </si>
  <si>
    <t>BMP Reduction Estimates for Edge-of-Stream TP</t>
  </si>
  <si>
    <t>BMP Reduction Estimates for Delivered TP</t>
  </si>
  <si>
    <t>Table of Contents</t>
  </si>
  <si>
    <t>TN eos</t>
  </si>
  <si>
    <t>TN del</t>
  </si>
  <si>
    <t>TP eos</t>
  </si>
  <si>
    <t>TP del</t>
  </si>
  <si>
    <t>TSS eos</t>
  </si>
  <si>
    <t>TSS del</t>
  </si>
  <si>
    <t>Edge-of-Stream TN Reductions and Costs</t>
  </si>
  <si>
    <t>Background Information About BMPs</t>
  </si>
  <si>
    <t>Edge-of-Stream TP Reductions and Costs</t>
  </si>
  <si>
    <t>Edge-of-Stream TSS Reductions and Costs</t>
  </si>
  <si>
    <t>Delivered TN Reductions and Costs</t>
  </si>
  <si>
    <t>Delivered TP Reductions and Costs</t>
  </si>
  <si>
    <t>Delivered TSS Reductions and Costs</t>
  </si>
  <si>
    <t>BMP Reduction Estimates for Edge-of-Stream TSS</t>
  </si>
  <si>
    <t>BMP Reduction Estimates for Delivered TSS</t>
  </si>
  <si>
    <t>Title</t>
  </si>
  <si>
    <t>Assumptions</t>
  </si>
  <si>
    <t>animal unit</t>
  </si>
  <si>
    <t>notes: For the EPA estimate, the annual cost of this practice represents an "opportunity cost"</t>
  </si>
  <si>
    <t>notes: EPA estimate is an average of unit cost with and without stream crossing.</t>
  </si>
  <si>
    <t>X</t>
  </si>
  <si>
    <t>BMP Info</t>
  </si>
  <si>
    <t>King &amp;
Hagan</t>
  </si>
  <si>
    <t>notes: The MDA estimate seems high for an annual practice. Therefore, it has not been included in the average.</t>
  </si>
  <si>
    <t>Unless stated otherwise in the cost estimates, the life of any non-annual BMP is estimated to be 20 years. Any BMP life estimates over 20 years have been reduced to 20 years to match the approximate project life of the Bay TMDL</t>
  </si>
  <si>
    <t xml:space="preserve">notes: </t>
  </si>
  <si>
    <t>notes: Initial EPA cost equals retrofit cost.</t>
  </si>
  <si>
    <t>Task Force</t>
  </si>
  <si>
    <t>notes: King &amp; Hagan figures are expressed in units of "impervious acres treated". This provides a unit of comparison that is more uniform than "acres treated", which assumes a proportion of impervious to pervious coverage. EPA figures have been converted to "impervious acres treated"</t>
  </si>
  <si>
    <t>notes: EPA estimates $0 per acre</t>
  </si>
  <si>
    <t>notes: K&amp;H estimates 0.09 acres of impervious surface treated per acre of practice. Therefore, the value from the K&amp;H report was multiplied by 0.09 to obtain these figures.</t>
  </si>
  <si>
    <t>King &amp; Hagan</t>
  </si>
  <si>
    <t>Abbreviations</t>
  </si>
  <si>
    <r>
      <t xml:space="preserve">King &amp; Hagan, 2011. </t>
    </r>
    <r>
      <rPr>
        <i/>
        <sz val="10"/>
        <rFont val="Calibri"/>
        <family val="2"/>
      </rPr>
      <t xml:space="preserve">Costs of Stormwater Management Practices in Maryland Counties. </t>
    </r>
    <r>
      <rPr>
        <sz val="10"/>
        <rFont val="Calibri"/>
        <family val="2"/>
      </rPr>
      <t>Solomons, MD: Technical Report Series No TS-626-11 of the University of Maryland Center for Environmental Science</t>
    </r>
  </si>
  <si>
    <t>MDA Agricultural BMP Cost Spreadsheet</t>
  </si>
  <si>
    <t>EPA BMP Cost Spreadsheet</t>
  </si>
  <si>
    <r>
      <t xml:space="preserve">Task Force on Sustainable Growth &amp; Wastewater Disposal, 2011. </t>
    </r>
    <r>
      <rPr>
        <i/>
        <sz val="10"/>
        <rFont val="Calibri"/>
        <family val="2"/>
      </rPr>
      <t>Final Report</t>
    </r>
    <r>
      <rPr>
        <sz val="10"/>
        <rFont val="Calibri"/>
        <family val="2"/>
      </rPr>
      <t>. Annapolis, MD.</t>
    </r>
  </si>
  <si>
    <r>
      <t>Weiland et al., 2009.</t>
    </r>
    <r>
      <rPr>
        <i/>
        <sz val="10"/>
        <rFont val="Calibri"/>
        <family val="2"/>
      </rPr>
      <t xml:space="preserve"> Costs and Cost Efficiencies for some Nutrient Reduction Practices in Maryland.</t>
    </r>
  </si>
  <si>
    <t>Maryland Assessment Scenario Tool</t>
  </si>
  <si>
    <t>Chesapeake Bay Program Phase 5.3.2 Watershed Model</t>
  </si>
  <si>
    <t>Combination of MAST and P5.3.2</t>
  </si>
  <si>
    <t>All BMP costs and load reductions are estimated on a per annum basis. The reductions are given in pounds of pollutant reduced by one unit of practice in each year. The load reduction estimates were developed using the Maryland 2025 Phase II WIP scenario. The cost estimates are defined as the cost of one unit of practice per year.  The costs include three elements:</t>
  </si>
  <si>
    <t xml:space="preserve">   2. any annual costs associated with the practices (O&amp;M, periodic inspections &amp; tracking) </t>
  </si>
  <si>
    <t xml:space="preserve">   3. interest payments</t>
  </si>
  <si>
    <t>Sources of Cost Estimates</t>
  </si>
  <si>
    <t xml:space="preserve">   1. the initial cost of the practice, divided over its life (land acqusition, design &amp; construction) </t>
  </si>
  <si>
    <t>MGD</t>
  </si>
  <si>
    <t>ManureTransport</t>
  </si>
  <si>
    <t>EDGE-OF-STREAM</t>
  </si>
  <si>
    <t>DELIVERED</t>
  </si>
  <si>
    <t>COST PER POUND REDUCED</t>
  </si>
  <si>
    <t>$ per EOS pound removed</t>
  </si>
  <si>
    <t>EOS pounds removed per $1,000</t>
  </si>
  <si>
    <t>UNIT LOAD REDUCTION</t>
  </si>
  <si>
    <t>Dairy Manure Incorporation</t>
  </si>
  <si>
    <t>Poultry Litter Incorporation</t>
  </si>
  <si>
    <t xml:space="preserve">Interest rate is initially set at 0.0%. Thus, the estimated costs in this spreadsheet represent the annual cost, in current dollars, for one unit of the BMP. This method makes no assumptions  about funding sources, inflation or time value of money. </t>
  </si>
  <si>
    <t>Cost Efficiency</t>
  </si>
  <si>
    <t>spread-
sheet</t>
  </si>
  <si>
    <t>notes: This estimate is based on "load ruduced per MGD upgraded to ENR per year" Accordingly, costs are estimated as "$ per MGD upgraded per year" Load reductions were based on 2017 projected flows and compring ENR permit concentrations to pre-ENR discharges. Costs were based on an analysis of capital costs for Maryland's ENR upgrades as well as estimates for annual O&amp;M costs.</t>
  </si>
  <si>
    <t>notes: EPA figure based off of average structure size of 1.23 acres
MDA indicates that their cost estimate should be used</t>
  </si>
  <si>
    <t>notes: MDA indicates that their cost estimate should be used</t>
  </si>
  <si>
    <t>notes: For the EPA estimate, the annual cost of this practice represents an "opportunity cost".  MDA indicates that their cost estimate should be used</t>
  </si>
  <si>
    <t>notes:  MDA indicates that their cost estimate should be used</t>
  </si>
  <si>
    <t>DNR</t>
  </si>
  <si>
    <t>notes: Wieland cost is an average of the 2007 Coastal Plain and non-Coastal Plane estimates. DNR cost is the most up-to-date</t>
  </si>
  <si>
    <t>notes: EPA figure based off of average system size of 167 acres. EPA figure seems too low. MDA estimates $13,500 for 26 acres of this practice.</t>
  </si>
  <si>
    <t>notes: EPA estimates a net savings for phytase use. Therefore, their estimate is negative. MDA estimates $1,000,000 cost for 300,000,000 birds statewide at 250 birds per AU.</t>
  </si>
  <si>
    <t>notes: K&amp;H estimates 2.64 acres of impervious surface treated per acre of practice. Therefore, the value from the K&amp;H report was multiplied by 2.64 to obtain these figures. SHA estimates that costs will be significantly lower where lad does not need to be purchased, and that the lifespan of a tree planting project can be significantly higher than 20 years.</t>
  </si>
  <si>
    <t>notes: K&amp;H estimates 2.94 acres of impervious surface treated per acre of practice. Therefore, the value from the K&amp;H report was multiplied by 2.94 to obtain these figures. SHA indicates that that the lifespan of a forest buffer project can be significantly higher than 20 years.</t>
  </si>
  <si>
    <t>notes: No unit load reduction values have been calculated for this BMP. MDA estimates $2,000 per 100,000-bird operation at 250 birds per animal unit.</t>
  </si>
  <si>
    <t>notes: No unit load reduction values have been calculated for this BMP. MDA estimates $30,000 per chicken operation (100,000 birds = 400 AUs) or $90,000 per 145-AU livestock operation. The average of these two estimates is $348 per animal unit.</t>
  </si>
  <si>
    <t>notes: MDA estimates $12,400 for a 15-acre operation</t>
  </si>
  <si>
    <t>notes: Assuming 10 acres per operation. This figure must be confirmed by MDA.</t>
  </si>
  <si>
    <t>notes: No unit load reduction values have been calculated for this BMP. Assuming 400 Animal Units per operation. This figure must be confirmed by MDA.</t>
  </si>
  <si>
    <t xml:space="preserve">notes: King &amp; Hagan figures are expressed in units of "impervious acres treated". This provides a unit of comparison that is more uniform than "acres treated", which assumes a proportion of impervious to pervious coverage. EPA figures have been converted </t>
  </si>
  <si>
    <t>acre treated</t>
  </si>
  <si>
    <t>notes: King &amp; Hagan figures are expressed in units of "impervious acres treated". To convert to urban acres treated, this analysis uses a factor of 0.25, based on two assumptions: (1)  there are three acres of pervious land for every acre of impervious (2) the additional volume required for pervious treatment is minimal.</t>
  </si>
  <si>
    <t>Bioswale</t>
  </si>
  <si>
    <t>Dry Detention Ponds and Hydrodynamic Structures</t>
  </si>
  <si>
    <t>Dry Extended Detention Ponds</t>
  </si>
  <si>
    <t>Urban Filtering Practices</t>
  </si>
  <si>
    <t>Urban Infiltration Practices - no sand\veg no under drain</t>
  </si>
  <si>
    <t>Urban Infiltration Practices - with sandveg no under drain</t>
  </si>
  <si>
    <t>Permeable Pavement w/ Sand, Veg. - A/B soils, underdrain</t>
  </si>
  <si>
    <t>MS4 Permit-Required Stormwater Retrofit</t>
  </si>
  <si>
    <t>Vegetated Open Channel - Urban</t>
  </si>
  <si>
    <t>Wet Ponds and Wetlands</t>
  </si>
  <si>
    <t>Bioretention/raingardens</t>
  </si>
  <si>
    <t>Cost estimates of these types can vary widely based on many factors; therefore, care is advised in using them. Below are some caveats regarding the interpretation of the cost estimates.</t>
  </si>
  <si>
    <t>Please be aware of the following caveats while using the BMP Unit Cost Estimate Spreadsheet:</t>
  </si>
  <si>
    <r>
      <t>1.</t>
    </r>
    <r>
      <rPr>
        <b/>
        <sz val="7"/>
        <rFont val="Arial"/>
        <family val="2"/>
      </rPr>
      <t xml:space="preserve">      </t>
    </r>
    <r>
      <rPr>
        <sz val="12"/>
        <rFont val="Arial"/>
        <family val="2"/>
      </rPr>
      <t>The costs in this spreadsheet are based on 2011 data and may have changed due to inflation and numerous other factors.</t>
    </r>
  </si>
  <si>
    <r>
      <t>2.</t>
    </r>
    <r>
      <rPr>
        <b/>
        <sz val="7"/>
        <rFont val="Arial"/>
        <family val="2"/>
      </rPr>
      <t xml:space="preserve">      </t>
    </r>
    <r>
      <rPr>
        <sz val="12"/>
        <rFont val="Arial"/>
        <family val="2"/>
      </rPr>
      <t>The nutrient reductions are based on the results of the Phase 5.3.2 Chesapeake Bay Watershed Model and are subject to change with the Phase 6 Bay Model, which is to be completed in 2017.</t>
    </r>
  </si>
  <si>
    <r>
      <t>3.</t>
    </r>
    <r>
      <rPr>
        <b/>
        <sz val="7"/>
        <rFont val="Arial"/>
        <family val="2"/>
      </rPr>
      <t xml:space="preserve">      </t>
    </r>
    <r>
      <rPr>
        <sz val="12"/>
        <rFont val="Arial"/>
        <family val="2"/>
      </rPr>
      <t>This spreadsheet is only intended as a coarse planning tool. It is not intended for estimating individual project costs.</t>
    </r>
  </si>
  <si>
    <r>
      <t>4.</t>
    </r>
    <r>
      <rPr>
        <b/>
        <sz val="7"/>
        <rFont val="Arial"/>
        <family val="2"/>
      </rPr>
      <t xml:space="preserve">      </t>
    </r>
    <r>
      <rPr>
        <sz val="12"/>
        <rFont val="Arial"/>
        <family val="2"/>
      </rPr>
      <t>This analysis only accounts for nutrient benefits. It does not include other co-benefits, which can be of significant financial and social benefit.</t>
    </r>
  </si>
  <si>
    <t>Disclaimer: In no event shall MDE, MDA, nor its employees, officers or agents become liable to users of the data provided herein for any loss arising from the use, operation or modification of the data.</t>
  </si>
  <si>
    <r>
      <t>5.</t>
    </r>
    <r>
      <rPr>
        <b/>
        <sz val="7"/>
        <rFont val="Arial"/>
        <family val="2"/>
      </rPr>
      <t xml:space="preserve">      </t>
    </r>
    <r>
      <rPr>
        <sz val="12"/>
        <rFont val="Arial"/>
        <family val="2"/>
      </rPr>
      <t>Many of the agricultural cost estimates used in this spreadsheet are not officially published and cannot be properly cited and are expected to change.</t>
    </r>
  </si>
</sst>
</file>

<file path=xl/styles.xml><?xml version="1.0" encoding="utf-8"?>
<styleSheet xmlns="http://schemas.openxmlformats.org/spreadsheetml/2006/main">
  <numFmts count="7">
    <numFmt numFmtId="44" formatCode="_(&quot;$&quot;* #,##0.00_);_(&quot;$&quot;* \(#,##0.00\);_(&quot;$&quot;* &quot;-&quot;??_);_(@_)"/>
    <numFmt numFmtId="164" formatCode="0.0"/>
    <numFmt numFmtId="165" formatCode="#,##0.0"/>
    <numFmt numFmtId="166" formatCode="#,##0.0000"/>
    <numFmt numFmtId="167" formatCode="0.0000"/>
    <numFmt numFmtId="168" formatCode="&quot;$&quot;#,##0.00"/>
    <numFmt numFmtId="169" formatCode="&quot;$&quot;#,##0"/>
  </numFmts>
  <fonts count="43">
    <font>
      <sz val="10"/>
      <name val="Arial"/>
    </font>
    <font>
      <sz val="8"/>
      <name val="Arial"/>
    </font>
    <font>
      <u/>
      <sz val="10"/>
      <color indexed="12"/>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sz val="10"/>
      <color indexed="8"/>
      <name val="Calibri"/>
      <family val="2"/>
    </font>
    <font>
      <sz val="10"/>
      <color indexed="8"/>
      <name val="Calibri"/>
      <family val="2"/>
    </font>
    <font>
      <b/>
      <sz val="12"/>
      <color indexed="9"/>
      <name val="Calibri"/>
      <family val="2"/>
    </font>
    <font>
      <sz val="8"/>
      <name val="Calibri"/>
      <family val="2"/>
    </font>
    <font>
      <sz val="10"/>
      <color indexed="12"/>
      <name val="Calibri"/>
      <family val="2"/>
    </font>
    <font>
      <b/>
      <sz val="12"/>
      <color indexed="12"/>
      <name val="Calibri"/>
      <family val="2"/>
    </font>
    <font>
      <b/>
      <sz val="16"/>
      <name val="Calibri"/>
      <family val="2"/>
    </font>
    <font>
      <b/>
      <sz val="8"/>
      <name val="Calibri"/>
      <family val="2"/>
    </font>
    <font>
      <b/>
      <sz val="12"/>
      <name val="Calibri"/>
      <family val="2"/>
    </font>
    <font>
      <b/>
      <sz val="10"/>
      <color indexed="9"/>
      <name val="Calibri"/>
      <family val="2"/>
    </font>
    <font>
      <b/>
      <sz val="12"/>
      <color indexed="9"/>
      <name val="Arial"/>
    </font>
    <font>
      <sz val="12"/>
      <name val="Arial"/>
    </font>
    <font>
      <b/>
      <sz val="14"/>
      <color indexed="9"/>
      <name val="Calibri"/>
      <family val="2"/>
    </font>
    <font>
      <i/>
      <sz val="10"/>
      <name val="Calibri"/>
      <family val="2"/>
    </font>
    <font>
      <b/>
      <u/>
      <sz val="10"/>
      <name val="Calibri"/>
      <family val="2"/>
    </font>
    <font>
      <sz val="10"/>
      <name val="Arial"/>
      <family val="2"/>
    </font>
    <font>
      <b/>
      <sz val="12"/>
      <name val="Arial"/>
      <family val="2"/>
    </font>
    <font>
      <b/>
      <sz val="7"/>
      <name val="Arial"/>
      <family val="2"/>
    </font>
    <font>
      <sz val="12"/>
      <name val="Arial"/>
      <family val="2"/>
    </font>
    <font>
      <sz val="12"/>
      <color rgb="FF434343"/>
      <name val="Arial"/>
      <family val="2"/>
    </font>
    <font>
      <b/>
      <u/>
      <sz val="12"/>
      <color rgb="FF000000"/>
      <name val="Arial"/>
      <family val="2"/>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63"/>
        <bgColor indexed="64"/>
      </patternFill>
    </fill>
    <fill>
      <patternFill patternType="solid">
        <fgColor indexed="11"/>
        <bgColor indexed="64"/>
      </patternFill>
    </fill>
  </fills>
  <borders count="8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ck">
        <color indexed="64"/>
      </top>
      <bottom style="medium">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09">
    <xf numFmtId="0" fontId="0" fillId="0" borderId="0" xfId="0"/>
    <xf numFmtId="0" fontId="20" fillId="0" borderId="0" xfId="0" applyFont="1"/>
    <xf numFmtId="0" fontId="22" fillId="24" borderId="10" xfId="38" applyFont="1" applyFill="1" applyBorder="1" applyAlignment="1">
      <alignment horizontal="left" vertical="center" wrapText="1"/>
    </xf>
    <xf numFmtId="0" fontId="22" fillId="24" borderId="11" xfId="38" applyFont="1" applyFill="1" applyBorder="1" applyAlignment="1">
      <alignment horizontal="left" vertical="center" wrapText="1"/>
    </xf>
    <xf numFmtId="0" fontId="22" fillId="24" borderId="12" xfId="38" applyFont="1" applyFill="1" applyBorder="1" applyAlignment="1">
      <alignment horizontal="left" vertical="center" wrapText="1"/>
    </xf>
    <xf numFmtId="0" fontId="20" fillId="0" borderId="13" xfId="0" applyFont="1" applyFill="1" applyBorder="1" applyAlignment="1">
      <alignment horizontal="center" vertical="center"/>
    </xf>
    <xf numFmtId="0" fontId="22" fillId="0" borderId="14" xfId="38" applyFont="1" applyBorder="1" applyAlignment="1">
      <alignment horizontal="left" vertical="center" indent="1"/>
    </xf>
    <xf numFmtId="0" fontId="24" fillId="25" borderId="15" xfId="38" applyFont="1" applyFill="1" applyBorder="1" applyAlignment="1">
      <alignment horizontal="center" vertical="center" wrapText="1"/>
    </xf>
    <xf numFmtId="0" fontId="24" fillId="25" borderId="16" xfId="38" applyFont="1" applyFill="1" applyBorder="1" applyAlignment="1">
      <alignment horizontal="center" vertical="center" wrapText="1"/>
    </xf>
    <xf numFmtId="0" fontId="22" fillId="24" borderId="17" xfId="38" applyFont="1" applyFill="1" applyBorder="1" applyAlignment="1">
      <alignment horizontal="left" vertical="center" wrapText="1"/>
    </xf>
    <xf numFmtId="0" fontId="22" fillId="24" borderId="18" xfId="38" applyFont="1" applyFill="1" applyBorder="1" applyAlignment="1">
      <alignment horizontal="left" vertical="center" wrapText="1"/>
    </xf>
    <xf numFmtId="0" fontId="23" fillId="26" borderId="19" xfId="38" applyFont="1" applyFill="1" applyBorder="1" applyAlignment="1">
      <alignment horizontal="center" vertical="center" wrapText="1"/>
    </xf>
    <xf numFmtId="0" fontId="23" fillId="26" borderId="20" xfId="38" applyFont="1" applyFill="1" applyBorder="1" applyAlignment="1">
      <alignment horizontal="center" vertical="center" wrapText="1"/>
    </xf>
    <xf numFmtId="0" fontId="23" fillId="27" borderId="20" xfId="38" applyFont="1" applyFill="1" applyBorder="1" applyAlignment="1">
      <alignment horizontal="center" vertical="center" wrapText="1"/>
    </xf>
    <xf numFmtId="0" fontId="23" fillId="28" borderId="20" xfId="38" applyFont="1" applyFill="1" applyBorder="1" applyAlignment="1">
      <alignment horizontal="center" vertical="center" wrapText="1"/>
    </xf>
    <xf numFmtId="0" fontId="23" fillId="29" borderId="20" xfId="38" applyFont="1" applyFill="1" applyBorder="1" applyAlignment="1">
      <alignment horizontal="center" vertical="center" wrapText="1"/>
    </xf>
    <xf numFmtId="0" fontId="23" fillId="30" borderId="20" xfId="38" applyFont="1" applyFill="1" applyBorder="1" applyAlignment="1">
      <alignment horizontal="center" vertical="center" wrapText="1"/>
    </xf>
    <xf numFmtId="0" fontId="20" fillId="0" borderId="0" xfId="0" applyFont="1" applyFill="1"/>
    <xf numFmtId="0" fontId="21" fillId="0" borderId="0" xfId="0" applyFont="1" applyFill="1"/>
    <xf numFmtId="0" fontId="20" fillId="24" borderId="0" xfId="0" applyFont="1" applyFill="1" applyBorder="1" applyAlignment="1">
      <alignment horizontal="left" indent="1"/>
    </xf>
    <xf numFmtId="0" fontId="20" fillId="24" borderId="0" xfId="0" applyFont="1" applyFill="1" applyBorder="1"/>
    <xf numFmtId="0" fontId="20" fillId="24" borderId="21" xfId="0" applyFont="1" applyFill="1" applyBorder="1"/>
    <xf numFmtId="0" fontId="25" fillId="24" borderId="0" xfId="0" applyFont="1" applyFill="1" applyAlignment="1">
      <alignment wrapText="1"/>
    </xf>
    <xf numFmtId="0" fontId="1" fillId="24" borderId="0" xfId="0" applyFont="1" applyFill="1" applyBorder="1" applyAlignment="1">
      <alignment vertical="center"/>
    </xf>
    <xf numFmtId="0" fontId="20" fillId="0" borderId="0" xfId="0" applyFont="1" applyFill="1" applyAlignment="1">
      <alignment horizontal="right"/>
    </xf>
    <xf numFmtId="0" fontId="21" fillId="24" borderId="0" xfId="0" applyFont="1" applyFill="1" applyBorder="1" applyAlignment="1">
      <alignment horizontal="right"/>
    </xf>
    <xf numFmtId="0" fontId="21" fillId="0" borderId="0" xfId="0" applyFont="1" applyFill="1" applyAlignment="1">
      <alignment horizontal="right"/>
    </xf>
    <xf numFmtId="0" fontId="26" fillId="0" borderId="22" xfId="34" applyFont="1" applyBorder="1" applyAlignment="1" applyProtection="1">
      <alignment horizontal="left" vertical="center" wrapText="1" indent="1"/>
    </xf>
    <xf numFmtId="164" fontId="20" fillId="0" borderId="23" xfId="0" applyNumberFormat="1" applyFont="1" applyFill="1" applyBorder="1" applyAlignment="1">
      <alignment horizontal="center"/>
    </xf>
    <xf numFmtId="164" fontId="20" fillId="0" borderId="24" xfId="0" applyNumberFormat="1" applyFont="1" applyFill="1" applyBorder="1" applyAlignment="1">
      <alignment horizontal="center"/>
    </xf>
    <xf numFmtId="164" fontId="20" fillId="0" borderId="25" xfId="0" applyNumberFormat="1" applyFont="1" applyFill="1" applyBorder="1" applyAlignment="1">
      <alignment horizontal="center"/>
    </xf>
    <xf numFmtId="164" fontId="20" fillId="0" borderId="26" xfId="0" applyNumberFormat="1" applyFont="1" applyFill="1" applyBorder="1" applyAlignment="1">
      <alignment horizontal="center"/>
    </xf>
    <xf numFmtId="164" fontId="20" fillId="0" borderId="14" xfId="0" applyNumberFormat="1" applyFont="1" applyFill="1" applyBorder="1" applyAlignment="1">
      <alignment horizontal="center"/>
    </xf>
    <xf numFmtId="164" fontId="20" fillId="0" borderId="20" xfId="0" applyNumberFormat="1" applyFont="1" applyFill="1" applyBorder="1" applyAlignment="1">
      <alignment horizontal="center"/>
    </xf>
    <xf numFmtId="164" fontId="20" fillId="0" borderId="27" xfId="0" applyNumberFormat="1" applyFont="1" applyFill="1" applyBorder="1" applyAlignment="1">
      <alignment horizontal="center"/>
    </xf>
    <xf numFmtId="164" fontId="20" fillId="0" borderId="28" xfId="0" applyNumberFormat="1" applyFont="1" applyFill="1" applyBorder="1" applyAlignment="1">
      <alignment horizontal="center"/>
    </xf>
    <xf numFmtId="164" fontId="20" fillId="0" borderId="29" xfId="0" applyNumberFormat="1" applyFont="1" applyFill="1" applyBorder="1" applyAlignment="1">
      <alignment horizontal="center"/>
    </xf>
    <xf numFmtId="0" fontId="20" fillId="24" borderId="0" xfId="0" applyFont="1" applyFill="1" applyBorder="1" applyAlignment="1">
      <alignment horizontal="right"/>
    </xf>
    <xf numFmtId="4" fontId="20" fillId="27" borderId="30" xfId="0" applyNumberFormat="1" applyFont="1" applyFill="1" applyBorder="1" applyAlignment="1" applyProtection="1">
      <alignment horizontal="center"/>
      <protection locked="0"/>
    </xf>
    <xf numFmtId="4" fontId="20" fillId="27" borderId="31" xfId="0" applyNumberFormat="1" applyFont="1" applyFill="1" applyBorder="1" applyAlignment="1" applyProtection="1">
      <alignment horizontal="center"/>
      <protection locked="0"/>
    </xf>
    <xf numFmtId="0" fontId="20" fillId="27" borderId="31" xfId="0" applyFont="1" applyFill="1" applyBorder="1" applyAlignment="1" applyProtection="1">
      <alignment horizontal="center"/>
      <protection locked="0"/>
    </xf>
    <xf numFmtId="0" fontId="20" fillId="27" borderId="32" xfId="0" applyFont="1" applyFill="1" applyBorder="1" applyAlignment="1" applyProtection="1">
      <alignment horizontal="center"/>
      <protection locked="0"/>
    </xf>
    <xf numFmtId="0" fontId="20" fillId="0" borderId="33" xfId="0" applyFont="1" applyFill="1" applyBorder="1"/>
    <xf numFmtId="0" fontId="21" fillId="0" borderId="33" xfId="0" applyFont="1" applyFill="1" applyBorder="1" applyAlignment="1">
      <alignment horizontal="center"/>
    </xf>
    <xf numFmtId="0" fontId="20" fillId="0" borderId="0" xfId="0" applyFont="1" applyFill="1" applyBorder="1"/>
    <xf numFmtId="0" fontId="20" fillId="0" borderId="0" xfId="0" applyFont="1" applyFill="1" applyBorder="1" applyAlignment="1">
      <alignment horizontal="left"/>
    </xf>
    <xf numFmtId="4" fontId="20" fillId="0" borderId="34" xfId="0" applyNumberFormat="1" applyFont="1" applyFill="1" applyBorder="1" applyAlignment="1" applyProtection="1">
      <alignment horizontal="center"/>
    </xf>
    <xf numFmtId="4" fontId="20" fillId="0" borderId="35" xfId="0" applyNumberFormat="1" applyFont="1" applyFill="1" applyBorder="1" applyAlignment="1" applyProtection="1">
      <alignment horizontal="center"/>
    </xf>
    <xf numFmtId="0" fontId="21" fillId="24" borderId="0" xfId="0" applyFont="1" applyFill="1" applyBorder="1" applyAlignment="1">
      <alignment horizontal="right" vertical="top"/>
    </xf>
    <xf numFmtId="0" fontId="21" fillId="24" borderId="0" xfId="0" applyFont="1" applyFill="1" applyBorder="1" applyAlignment="1">
      <alignment horizontal="left"/>
    </xf>
    <xf numFmtId="0" fontId="28" fillId="24" borderId="0" xfId="0" applyFont="1" applyFill="1" applyBorder="1" applyAlignment="1">
      <alignment horizontal="left"/>
    </xf>
    <xf numFmtId="3" fontId="20" fillId="0" borderId="25" xfId="0" applyNumberFormat="1" applyFont="1" applyFill="1" applyBorder="1" applyAlignment="1">
      <alignment horizontal="center"/>
    </xf>
    <xf numFmtId="3" fontId="20" fillId="0" borderId="20" xfId="0" applyNumberFormat="1" applyFont="1" applyFill="1" applyBorder="1" applyAlignment="1">
      <alignment horizontal="center"/>
    </xf>
    <xf numFmtId="3" fontId="20" fillId="0" borderId="29" xfId="0" applyNumberFormat="1" applyFont="1" applyFill="1" applyBorder="1" applyAlignment="1">
      <alignment horizontal="center"/>
    </xf>
    <xf numFmtId="3" fontId="20" fillId="0" borderId="0" xfId="0" applyNumberFormat="1" applyFont="1" applyFill="1"/>
    <xf numFmtId="3" fontId="21" fillId="0" borderId="33" xfId="0" applyNumberFormat="1" applyFont="1" applyFill="1" applyBorder="1" applyAlignment="1">
      <alignment horizontal="center"/>
    </xf>
    <xf numFmtId="4" fontId="20" fillId="27" borderId="23" xfId="0" applyNumberFormat="1" applyFont="1" applyFill="1" applyBorder="1" applyAlignment="1">
      <alignment horizontal="center"/>
    </xf>
    <xf numFmtId="4" fontId="20" fillId="27" borderId="26" xfId="0" applyNumberFormat="1" applyFont="1" applyFill="1" applyBorder="1" applyAlignment="1">
      <alignment horizontal="center"/>
    </xf>
    <xf numFmtId="4" fontId="20" fillId="27" borderId="27" xfId="0" applyNumberFormat="1" applyFont="1" applyFill="1" applyBorder="1" applyAlignment="1">
      <alignment horizontal="center"/>
    </xf>
    <xf numFmtId="0" fontId="20" fillId="0" borderId="0" xfId="0" applyFont="1" applyAlignment="1">
      <alignment horizontal="center"/>
    </xf>
    <xf numFmtId="0" fontId="21" fillId="0" borderId="0" xfId="0" applyFont="1"/>
    <xf numFmtId="4" fontId="20" fillId="0" borderId="28" xfId="0" applyNumberFormat="1" applyFont="1" applyBorder="1" applyAlignment="1">
      <alignment horizontal="center" vertical="center"/>
    </xf>
    <xf numFmtId="165" fontId="20" fillId="0" borderId="26" xfId="0" applyNumberFormat="1" applyFont="1" applyBorder="1" applyAlignment="1">
      <alignment horizontal="center" vertical="center"/>
    </xf>
    <xf numFmtId="165" fontId="20" fillId="0" borderId="14" xfId="0" applyNumberFormat="1" applyFont="1" applyBorder="1" applyAlignment="1">
      <alignment horizontal="center" vertical="center"/>
    </xf>
    <xf numFmtId="165" fontId="20" fillId="0" borderId="27" xfId="0" applyNumberFormat="1" applyFont="1" applyBorder="1" applyAlignment="1">
      <alignment horizontal="center" vertical="center"/>
    </xf>
    <xf numFmtId="165" fontId="20" fillId="0" borderId="28" xfId="0" applyNumberFormat="1" applyFont="1" applyBorder="1" applyAlignment="1">
      <alignment horizontal="center" vertical="center"/>
    </xf>
    <xf numFmtId="0" fontId="22" fillId="0" borderId="14" xfId="38" applyFont="1" applyFill="1" applyBorder="1" applyAlignment="1">
      <alignment horizontal="left" vertical="center" wrapText="1" indent="1"/>
    </xf>
    <xf numFmtId="0" fontId="23" fillId="31" borderId="20" xfId="38" applyFont="1" applyFill="1" applyBorder="1" applyAlignment="1">
      <alignment horizontal="center" vertical="center" wrapText="1"/>
    </xf>
    <xf numFmtId="4" fontId="20" fillId="0" borderId="27" xfId="0" applyNumberFormat="1" applyFont="1" applyBorder="1" applyAlignment="1">
      <alignment horizontal="center" vertical="center"/>
    </xf>
    <xf numFmtId="4" fontId="20" fillId="27" borderId="26" xfId="0" applyNumberFormat="1" applyFont="1" applyFill="1" applyBorder="1" applyAlignment="1">
      <alignment horizontal="center" vertical="center"/>
    </xf>
    <xf numFmtId="4" fontId="20" fillId="27" borderId="14" xfId="0" applyNumberFormat="1" applyFont="1" applyFill="1" applyBorder="1" applyAlignment="1">
      <alignment horizontal="center" vertical="center"/>
    </xf>
    <xf numFmtId="0" fontId="26" fillId="0" borderId="22" xfId="34" applyFont="1" applyFill="1" applyBorder="1" applyAlignment="1" applyProtection="1">
      <alignment horizontal="left" vertical="center" wrapText="1" indent="1"/>
    </xf>
    <xf numFmtId="0" fontId="20" fillId="0" borderId="14" xfId="0" applyFont="1" applyFill="1" applyBorder="1" applyAlignment="1">
      <alignment horizontal="center" vertical="center" wrapText="1"/>
    </xf>
    <xf numFmtId="4" fontId="20" fillId="0" borderId="26" xfId="0" applyNumberFormat="1" applyFont="1" applyFill="1" applyBorder="1" applyAlignment="1">
      <alignment horizontal="center" vertical="center"/>
    </xf>
    <xf numFmtId="4" fontId="20" fillId="0" borderId="14" xfId="0" applyNumberFormat="1" applyFont="1" applyFill="1" applyBorder="1" applyAlignment="1">
      <alignment horizontal="center" vertical="center"/>
    </xf>
    <xf numFmtId="165" fontId="20" fillId="0" borderId="14" xfId="0" quotePrefix="1" applyNumberFormat="1" applyFont="1" applyBorder="1" applyAlignment="1">
      <alignment horizontal="center" vertical="center"/>
    </xf>
    <xf numFmtId="165" fontId="20" fillId="27" borderId="26" xfId="0" applyNumberFormat="1" applyFont="1" applyFill="1" applyBorder="1" applyAlignment="1">
      <alignment horizontal="center" vertical="center"/>
    </xf>
    <xf numFmtId="165" fontId="20" fillId="27" borderId="14" xfId="0" applyNumberFormat="1" applyFont="1" applyFill="1" applyBorder="1" applyAlignment="1">
      <alignment horizontal="center" vertical="center"/>
    </xf>
    <xf numFmtId="0" fontId="20" fillId="24" borderId="26" xfId="0" applyFont="1" applyFill="1" applyBorder="1"/>
    <xf numFmtId="0" fontId="20" fillId="0" borderId="20" xfId="0" applyFont="1" applyFill="1" applyBorder="1" applyAlignment="1">
      <alignment horizontal="center"/>
    </xf>
    <xf numFmtId="0" fontId="20" fillId="24" borderId="27" xfId="0" applyFont="1" applyFill="1" applyBorder="1"/>
    <xf numFmtId="0" fontId="21" fillId="32" borderId="25" xfId="0" applyFont="1" applyFill="1" applyBorder="1" applyAlignment="1">
      <alignment horizontal="center"/>
    </xf>
    <xf numFmtId="0" fontId="21" fillId="32" borderId="23" xfId="0" applyFont="1" applyFill="1" applyBorder="1"/>
    <xf numFmtId="0" fontId="20" fillId="0" borderId="0" xfId="0" applyFont="1" applyFill="1" applyAlignment="1">
      <alignment horizontal="center" vertical="center"/>
    </xf>
    <xf numFmtId="165" fontId="20" fillId="0" borderId="26" xfId="0" applyNumberFormat="1" applyFont="1" applyFill="1" applyBorder="1" applyAlignment="1">
      <alignment horizontal="center" vertical="center"/>
    </xf>
    <xf numFmtId="165" fontId="20" fillId="0" borderId="14" xfId="0" applyNumberFormat="1" applyFont="1" applyFill="1" applyBorder="1" applyAlignment="1">
      <alignment horizontal="center" vertical="center"/>
    </xf>
    <xf numFmtId="0" fontId="29" fillId="0" borderId="33" xfId="0" applyFont="1" applyFill="1" applyBorder="1"/>
    <xf numFmtId="0" fontId="22" fillId="24" borderId="36" xfId="38" applyFont="1" applyFill="1" applyBorder="1" applyAlignment="1">
      <alignment horizontal="left" vertical="center" wrapText="1"/>
    </xf>
    <xf numFmtId="0" fontId="20" fillId="0" borderId="37" xfId="0" applyFont="1" applyFill="1" applyBorder="1" applyAlignment="1">
      <alignment horizontal="center" vertical="center" wrapText="1"/>
    </xf>
    <xf numFmtId="0" fontId="30" fillId="24" borderId="0" xfId="0" applyFont="1" applyFill="1" applyBorder="1" applyAlignment="1">
      <alignment horizontal="left" indent="1"/>
    </xf>
    <xf numFmtId="0" fontId="24" fillId="25" borderId="38" xfId="38" applyFont="1" applyFill="1" applyBorder="1" applyAlignment="1">
      <alignment horizontal="center" vertical="center" wrapText="1"/>
    </xf>
    <xf numFmtId="0" fontId="23" fillId="30" borderId="39" xfId="38"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42" xfId="0" applyFont="1" applyFill="1" applyBorder="1" applyAlignment="1">
      <alignment horizontal="center" vertical="center"/>
    </xf>
    <xf numFmtId="167" fontId="20" fillId="27" borderId="23" xfId="0" applyNumberFormat="1" applyFont="1" applyFill="1" applyBorder="1" applyAlignment="1">
      <alignment horizontal="center"/>
    </xf>
    <xf numFmtId="167" fontId="20" fillId="27" borderId="26" xfId="0" applyNumberFormat="1" applyFont="1" applyFill="1" applyBorder="1" applyAlignment="1">
      <alignment horizontal="center"/>
    </xf>
    <xf numFmtId="167" fontId="20" fillId="27" borderId="27" xfId="0" applyNumberFormat="1" applyFont="1" applyFill="1" applyBorder="1" applyAlignment="1">
      <alignment horizontal="center"/>
    </xf>
    <xf numFmtId="167" fontId="20" fillId="0" borderId="0" xfId="0" applyNumberFormat="1" applyFont="1" applyFill="1"/>
    <xf numFmtId="167" fontId="21" fillId="0" borderId="33" xfId="0" applyNumberFormat="1" applyFont="1" applyFill="1" applyBorder="1" applyAlignment="1">
      <alignment horizontal="center"/>
    </xf>
    <xf numFmtId="2" fontId="20" fillId="0" borderId="0" xfId="0" applyNumberFormat="1" applyFont="1" applyFill="1"/>
    <xf numFmtId="2" fontId="21" fillId="0" borderId="33" xfId="0" applyNumberFormat="1" applyFont="1" applyFill="1" applyBorder="1" applyAlignment="1">
      <alignment horizontal="center"/>
    </xf>
    <xf numFmtId="168" fontId="20" fillId="27" borderId="26" xfId="0" applyNumberFormat="1" applyFont="1" applyFill="1" applyBorder="1" applyAlignment="1">
      <alignment horizontal="center" vertical="center"/>
    </xf>
    <xf numFmtId="168" fontId="20" fillId="0" borderId="26" xfId="0" applyNumberFormat="1" applyFont="1" applyBorder="1" applyAlignment="1">
      <alignment horizontal="center" vertical="center"/>
    </xf>
    <xf numFmtId="168" fontId="20" fillId="0" borderId="26" xfId="0" applyNumberFormat="1" applyFont="1" applyFill="1" applyBorder="1" applyAlignment="1">
      <alignment horizontal="center" vertical="center"/>
    </xf>
    <xf numFmtId="168" fontId="20" fillId="0" borderId="27" xfId="0" applyNumberFormat="1" applyFont="1" applyBorder="1" applyAlignment="1">
      <alignment horizontal="center" vertical="center"/>
    </xf>
    <xf numFmtId="169" fontId="20" fillId="27" borderId="26" xfId="0" applyNumberFormat="1" applyFont="1" applyFill="1" applyBorder="1" applyAlignment="1">
      <alignment horizontal="center" vertical="center"/>
    </xf>
    <xf numFmtId="169" fontId="20" fillId="27" borderId="14" xfId="0" applyNumberFormat="1" applyFont="1" applyFill="1" applyBorder="1" applyAlignment="1">
      <alignment horizontal="center" vertical="center"/>
    </xf>
    <xf numFmtId="169" fontId="20" fillId="0" borderId="26" xfId="0" applyNumberFormat="1" applyFont="1" applyBorder="1" applyAlignment="1">
      <alignment horizontal="center" vertical="center"/>
    </xf>
    <xf numFmtId="169" fontId="20" fillId="0" borderId="14" xfId="0" applyNumberFormat="1" applyFont="1" applyBorder="1" applyAlignment="1">
      <alignment horizontal="center" vertical="center"/>
    </xf>
    <xf numFmtId="169" fontId="20" fillId="0" borderId="26" xfId="0" applyNumberFormat="1" applyFont="1" applyFill="1" applyBorder="1" applyAlignment="1">
      <alignment horizontal="center" vertical="center"/>
    </xf>
    <xf numFmtId="169" fontId="20" fillId="0" borderId="14" xfId="0" applyNumberFormat="1" applyFont="1" applyFill="1" applyBorder="1" applyAlignment="1">
      <alignment horizontal="center" vertical="center"/>
    </xf>
    <xf numFmtId="169" fontId="20" fillId="0" borderId="14" xfId="0" quotePrefix="1" applyNumberFormat="1" applyFont="1" applyBorder="1" applyAlignment="1">
      <alignment horizontal="center" vertical="center"/>
    </xf>
    <xf numFmtId="169" fontId="20" fillId="0" borderId="27" xfId="0" applyNumberFormat="1" applyFont="1" applyBorder="1" applyAlignment="1">
      <alignment horizontal="center" vertical="center"/>
    </xf>
    <xf numFmtId="169" fontId="20" fillId="0" borderId="28" xfId="0" applyNumberFormat="1" applyFont="1" applyBorder="1" applyAlignment="1">
      <alignment horizontal="center" vertical="center"/>
    </xf>
    <xf numFmtId="3" fontId="25" fillId="24" borderId="20" xfId="0" applyNumberFormat="1" applyFont="1" applyFill="1" applyBorder="1" applyAlignment="1">
      <alignment horizontal="center" vertical="center" wrapText="1"/>
    </xf>
    <xf numFmtId="3" fontId="25" fillId="24" borderId="29" xfId="0" applyNumberFormat="1" applyFont="1" applyFill="1" applyBorder="1" applyAlignment="1">
      <alignment horizontal="center" vertical="center" wrapText="1"/>
    </xf>
    <xf numFmtId="0" fontId="21" fillId="32" borderId="43" xfId="0" applyFont="1" applyFill="1" applyBorder="1" applyAlignment="1">
      <alignment vertical="center" wrapText="1"/>
    </xf>
    <xf numFmtId="0" fontId="21" fillId="32" borderId="44" xfId="0" applyFont="1" applyFill="1" applyBorder="1" applyAlignment="1">
      <alignment vertical="center" wrapText="1"/>
    </xf>
    <xf numFmtId="0" fontId="21" fillId="32" borderId="45" xfId="0" applyFont="1" applyFill="1" applyBorder="1" applyAlignment="1">
      <alignment vertical="center"/>
    </xf>
    <xf numFmtId="0" fontId="21" fillId="32" borderId="43" xfId="0" applyFont="1" applyFill="1" applyBorder="1" applyAlignment="1">
      <alignment vertical="center"/>
    </xf>
    <xf numFmtId="0" fontId="22" fillId="32" borderId="46" xfId="38" applyFont="1" applyFill="1" applyBorder="1" applyAlignment="1">
      <alignment horizontal="left" vertical="center" wrapText="1"/>
    </xf>
    <xf numFmtId="0" fontId="22" fillId="32" borderId="47" xfId="38" applyFont="1" applyFill="1" applyBorder="1" applyAlignment="1">
      <alignment horizontal="left" vertical="center" wrapText="1"/>
    </xf>
    <xf numFmtId="0" fontId="22" fillId="32" borderId="48" xfId="38" applyFont="1" applyFill="1" applyBorder="1" applyAlignment="1">
      <alignment horizontal="left" vertical="center" wrapText="1"/>
    </xf>
    <xf numFmtId="0" fontId="22" fillId="32" borderId="49" xfId="38" applyFont="1" applyFill="1" applyBorder="1" applyAlignment="1">
      <alignment horizontal="left" vertical="center" wrapText="1"/>
    </xf>
    <xf numFmtId="0" fontId="21" fillId="0" borderId="0" xfId="0" applyFont="1" applyFill="1" applyAlignment="1">
      <alignment horizontal="left" vertical="center" indent="1"/>
    </xf>
    <xf numFmtId="0" fontId="21" fillId="0" borderId="0" xfId="0" applyFont="1" applyFill="1" applyBorder="1" applyAlignment="1">
      <alignment horizontal="left" vertical="center" indent="1"/>
    </xf>
    <xf numFmtId="0" fontId="20" fillId="0" borderId="50" xfId="0" applyFont="1" applyFill="1" applyBorder="1" applyAlignment="1">
      <alignment horizontal="center" vertical="center" wrapText="1"/>
    </xf>
    <xf numFmtId="0" fontId="20" fillId="0" borderId="51" xfId="0" applyFont="1" applyFill="1" applyBorder="1" applyAlignment="1">
      <alignment horizontal="center" vertical="center"/>
    </xf>
    <xf numFmtId="0" fontId="22" fillId="0" borderId="14" xfId="38" quotePrefix="1" applyFont="1" applyFill="1" applyBorder="1" applyAlignment="1">
      <alignment horizontal="left" vertical="center" indent="1"/>
    </xf>
    <xf numFmtId="0" fontId="22" fillId="0" borderId="14" xfId="38" applyFont="1" applyFill="1" applyBorder="1" applyAlignment="1">
      <alignment horizontal="left" vertical="center" indent="1"/>
    </xf>
    <xf numFmtId="0" fontId="22" fillId="0" borderId="40" xfId="38" applyFont="1" applyFill="1" applyBorder="1" applyAlignment="1">
      <alignment horizontal="left" vertical="center" wrapText="1" indent="1"/>
    </xf>
    <xf numFmtId="0" fontId="20" fillId="0" borderId="0" xfId="0" applyFont="1" applyBorder="1" applyAlignment="1">
      <alignment horizontal="left"/>
    </xf>
    <xf numFmtId="3" fontId="20" fillId="27" borderId="26" xfId="0" applyNumberFormat="1" applyFont="1" applyFill="1" applyBorder="1" applyAlignment="1">
      <alignment horizontal="center" vertical="center"/>
    </xf>
    <xf numFmtId="3" fontId="20" fillId="27" borderId="14" xfId="0" applyNumberFormat="1" applyFont="1" applyFill="1" applyBorder="1" applyAlignment="1">
      <alignment horizontal="center" vertical="center"/>
    </xf>
    <xf numFmtId="3" fontId="20" fillId="0" borderId="26" xfId="0" applyNumberFormat="1" applyFont="1" applyBorder="1" applyAlignment="1">
      <alignment horizontal="center" vertical="center"/>
    </xf>
    <xf numFmtId="3" fontId="20" fillId="0" borderId="14" xfId="0" applyNumberFormat="1" applyFont="1" applyBorder="1" applyAlignment="1">
      <alignment horizontal="center" vertical="center"/>
    </xf>
    <xf numFmtId="3" fontId="20" fillId="0" borderId="26" xfId="0" applyNumberFormat="1" applyFont="1" applyFill="1" applyBorder="1" applyAlignment="1">
      <alignment horizontal="center" vertical="center"/>
    </xf>
    <xf numFmtId="3" fontId="20" fillId="0" borderId="14" xfId="0" applyNumberFormat="1" applyFont="1" applyFill="1" applyBorder="1" applyAlignment="1">
      <alignment horizontal="center" vertical="center"/>
    </xf>
    <xf numFmtId="3" fontId="20" fillId="0" borderId="14" xfId="0" quotePrefix="1" applyNumberFormat="1" applyFont="1" applyBorder="1" applyAlignment="1">
      <alignment horizontal="center" vertical="center"/>
    </xf>
    <xf numFmtId="3" fontId="20" fillId="0" borderId="27" xfId="0" applyNumberFormat="1" applyFont="1" applyBorder="1" applyAlignment="1">
      <alignment horizontal="center" vertical="center"/>
    </xf>
    <xf numFmtId="3" fontId="20" fillId="0" borderId="28" xfId="0" applyNumberFormat="1" applyFont="1" applyBorder="1" applyAlignment="1">
      <alignment horizontal="center" vertical="center"/>
    </xf>
    <xf numFmtId="168" fontId="20" fillId="27" borderId="14" xfId="0" applyNumberFormat="1" applyFont="1" applyFill="1" applyBorder="1" applyAlignment="1">
      <alignment horizontal="center" vertical="center"/>
    </xf>
    <xf numFmtId="168" fontId="20" fillId="0" borderId="14" xfId="0" applyNumberFormat="1" applyFont="1" applyBorder="1" applyAlignment="1">
      <alignment horizontal="center" vertical="center"/>
    </xf>
    <xf numFmtId="168" fontId="20" fillId="0" borderId="14" xfId="0" applyNumberFormat="1" applyFont="1" applyFill="1" applyBorder="1" applyAlignment="1">
      <alignment horizontal="center" vertical="center"/>
    </xf>
    <xf numFmtId="168" fontId="20" fillId="0" borderId="14" xfId="0" quotePrefix="1" applyNumberFormat="1" applyFont="1" applyBorder="1" applyAlignment="1">
      <alignment horizontal="center" vertical="center"/>
    </xf>
    <xf numFmtId="168" fontId="20" fillId="0" borderId="28" xfId="0" applyNumberFormat="1" applyFont="1" applyBorder="1" applyAlignment="1">
      <alignment horizontal="center" vertical="center"/>
    </xf>
    <xf numFmtId="0" fontId="20" fillId="0" borderId="0" xfId="0" applyFont="1" applyAlignment="1">
      <alignment horizontal="right"/>
    </xf>
    <xf numFmtId="0" fontId="31" fillId="25" borderId="52" xfId="0" applyFont="1" applyFill="1" applyBorder="1" applyAlignment="1">
      <alignment horizontal="center" vertical="center"/>
    </xf>
    <xf numFmtId="0" fontId="31" fillId="25" borderId="53" xfId="0" applyFont="1" applyFill="1" applyBorder="1" applyAlignment="1">
      <alignment horizontal="center" vertical="center"/>
    </xf>
    <xf numFmtId="0" fontId="31" fillId="25" borderId="54" xfId="0" applyFont="1" applyFill="1" applyBorder="1" applyAlignment="1">
      <alignment horizontal="center" vertical="center"/>
    </xf>
    <xf numFmtId="0" fontId="21" fillId="0" borderId="0" xfId="0" applyFont="1" applyBorder="1" applyAlignment="1">
      <alignment horizontal="left"/>
    </xf>
    <xf numFmtId="0" fontId="21" fillId="0" borderId="0" xfId="0" applyFont="1" applyAlignment="1">
      <alignment horizontal="right"/>
    </xf>
    <xf numFmtId="0" fontId="21" fillId="24" borderId="55" xfId="0" applyFont="1" applyFill="1" applyBorder="1" applyAlignment="1">
      <alignment horizontal="right" vertical="center"/>
    </xf>
    <xf numFmtId="0" fontId="21" fillId="24" borderId="26" xfId="0" applyFont="1" applyFill="1" applyBorder="1" applyAlignment="1">
      <alignment horizontal="right" vertical="center"/>
    </xf>
    <xf numFmtId="0" fontId="21" fillId="24" borderId="56" xfId="0" applyFont="1" applyFill="1" applyBorder="1" applyAlignment="1">
      <alignment horizontal="right" vertical="center"/>
    </xf>
    <xf numFmtId="0" fontId="21" fillId="24" borderId="57" xfId="0" applyFont="1" applyFill="1" applyBorder="1" applyAlignment="1">
      <alignment horizontal="right" vertical="center"/>
    </xf>
    <xf numFmtId="0" fontId="21" fillId="24" borderId="16" xfId="0" applyFont="1" applyFill="1" applyBorder="1" applyAlignment="1">
      <alignment horizontal="right" vertical="center"/>
    </xf>
    <xf numFmtId="0" fontId="21" fillId="24" borderId="38" xfId="0" applyFont="1" applyFill="1" applyBorder="1" applyAlignment="1">
      <alignment horizontal="right" vertical="center"/>
    </xf>
    <xf numFmtId="0" fontId="22" fillId="0" borderId="28" xfId="38" applyFont="1" applyFill="1" applyBorder="1" applyAlignment="1">
      <alignment horizontal="left" vertical="center" wrapText="1" indent="1"/>
    </xf>
    <xf numFmtId="0" fontId="26" fillId="0" borderId="58" xfId="34" applyFont="1" applyFill="1" applyBorder="1" applyAlignment="1" applyProtection="1">
      <alignment horizontal="left" vertical="center" wrapText="1" indent="1"/>
    </xf>
    <xf numFmtId="0" fontId="26" fillId="0" borderId="13" xfId="34" applyFont="1" applyFill="1" applyBorder="1" applyAlignment="1" applyProtection="1">
      <alignment horizontal="left" vertical="center" wrapText="1" indent="1"/>
    </xf>
    <xf numFmtId="0" fontId="26" fillId="0" borderId="59" xfId="34" applyFont="1" applyFill="1" applyBorder="1" applyAlignment="1" applyProtection="1">
      <alignment horizontal="left" vertical="center" wrapText="1" indent="1"/>
    </xf>
    <xf numFmtId="0" fontId="26" fillId="0" borderId="20" xfId="34" applyFont="1" applyFill="1" applyBorder="1" applyAlignment="1" applyProtection="1">
      <alignment horizontal="left" vertical="center" wrapText="1" indent="1"/>
    </xf>
    <xf numFmtId="0" fontId="26" fillId="0" borderId="39" xfId="34" applyFont="1" applyFill="1" applyBorder="1" applyAlignment="1" applyProtection="1">
      <alignment horizontal="left" vertical="center" wrapText="1" indent="1"/>
    </xf>
    <xf numFmtId="0" fontId="20" fillId="29" borderId="20" xfId="0" applyFont="1" applyFill="1" applyBorder="1" applyAlignment="1">
      <alignment horizontal="center"/>
    </xf>
    <xf numFmtId="4" fontId="20" fillId="29" borderId="20" xfId="0" applyNumberFormat="1" applyFont="1" applyFill="1" applyBorder="1" applyAlignment="1">
      <alignment horizontal="center"/>
    </xf>
    <xf numFmtId="4" fontId="20" fillId="29" borderId="29" xfId="0" applyNumberFormat="1" applyFont="1" applyFill="1" applyBorder="1" applyAlignment="1">
      <alignment horizontal="center"/>
    </xf>
    <xf numFmtId="2" fontId="20" fillId="29" borderId="20" xfId="0" applyNumberFormat="1" applyFont="1" applyFill="1" applyBorder="1" applyAlignment="1">
      <alignment horizontal="center"/>
    </xf>
    <xf numFmtId="2" fontId="20" fillId="29" borderId="29" xfId="0" applyNumberFormat="1" applyFont="1" applyFill="1" applyBorder="1" applyAlignment="1">
      <alignment horizontal="center"/>
    </xf>
    <xf numFmtId="2" fontId="20" fillId="27" borderId="14" xfId="0" applyNumberFormat="1" applyFont="1" applyFill="1" applyBorder="1" applyAlignment="1" applyProtection="1">
      <alignment horizontal="center" vertical="center"/>
      <protection locked="0"/>
    </xf>
    <xf numFmtId="0" fontId="21" fillId="0" borderId="0" xfId="0" applyFont="1" applyFill="1" applyAlignment="1">
      <alignment horizontal="right" vertical="center"/>
    </xf>
    <xf numFmtId="0" fontId="30" fillId="0" borderId="26" xfId="0" applyFont="1" applyBorder="1" applyAlignment="1">
      <alignment horizontal="center" vertical="center"/>
    </xf>
    <xf numFmtId="0" fontId="30" fillId="0" borderId="14" xfId="0" applyFont="1" applyBorder="1" applyAlignment="1">
      <alignment horizontal="center" vertical="center"/>
    </xf>
    <xf numFmtId="0" fontId="20" fillId="0" borderId="20" xfId="0" applyFont="1" applyBorder="1"/>
    <xf numFmtId="0" fontId="30" fillId="0" borderId="20" xfId="0"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20" fillId="0" borderId="29" xfId="0" applyFont="1" applyBorder="1"/>
    <xf numFmtId="0" fontId="30" fillId="0" borderId="60" xfId="0" applyFont="1" applyBorder="1" applyAlignment="1">
      <alignment horizontal="center" vertical="center"/>
    </xf>
    <xf numFmtId="0" fontId="30" fillId="0" borderId="50" xfId="0" applyFont="1" applyBorder="1" applyAlignment="1">
      <alignment horizontal="center" vertical="center"/>
    </xf>
    <xf numFmtId="0" fontId="20" fillId="0" borderId="19" xfId="0" applyFont="1" applyBorder="1"/>
    <xf numFmtId="0" fontId="21" fillId="24" borderId="43" xfId="0" applyFont="1" applyFill="1" applyBorder="1" applyAlignment="1">
      <alignment horizontal="center" vertical="center"/>
    </xf>
    <xf numFmtId="0" fontId="21" fillId="24" borderId="44" xfId="0" applyFont="1" applyFill="1" applyBorder="1" applyAlignment="1">
      <alignment horizontal="center" vertical="center"/>
    </xf>
    <xf numFmtId="0" fontId="21" fillId="24" borderId="44" xfId="0" applyFont="1" applyFill="1" applyBorder="1" applyAlignment="1">
      <alignment horizontal="center" vertical="center" wrapText="1"/>
    </xf>
    <xf numFmtId="0" fontId="21" fillId="24" borderId="45" xfId="0" applyFont="1" applyFill="1" applyBorder="1" applyAlignment="1">
      <alignment horizontal="center" vertical="center" wrapText="1"/>
    </xf>
    <xf numFmtId="2" fontId="20" fillId="0" borderId="0" xfId="0" applyNumberFormat="1" applyFont="1" applyFill="1" applyBorder="1" applyAlignment="1" applyProtection="1">
      <alignment horizontal="center" vertical="center"/>
      <protection locked="0"/>
    </xf>
    <xf numFmtId="0" fontId="36" fillId="33" borderId="61" xfId="0" applyFont="1" applyFill="1" applyBorder="1"/>
    <xf numFmtId="0" fontId="20" fillId="33" borderId="33" xfId="0" applyFont="1" applyFill="1" applyBorder="1"/>
    <xf numFmtId="0" fontId="20" fillId="33" borderId="62" xfId="0" applyFont="1" applyFill="1" applyBorder="1"/>
    <xf numFmtId="0" fontId="21" fillId="33" borderId="63" xfId="0" applyFont="1" applyFill="1" applyBorder="1"/>
    <xf numFmtId="0" fontId="20" fillId="33" borderId="0" xfId="0" applyFont="1" applyFill="1" applyBorder="1"/>
    <xf numFmtId="0" fontId="20" fillId="33" borderId="64" xfId="0" applyFont="1" applyFill="1" applyBorder="1"/>
    <xf numFmtId="0" fontId="21" fillId="33" borderId="65" xfId="0" applyFont="1" applyFill="1" applyBorder="1"/>
    <xf numFmtId="0" fontId="20" fillId="33" borderId="21" xfId="0" applyFont="1" applyFill="1" applyBorder="1"/>
    <xf numFmtId="0" fontId="20" fillId="33" borderId="66" xfId="0" applyFont="1" applyFill="1" applyBorder="1"/>
    <xf numFmtId="0" fontId="20" fillId="33" borderId="63" xfId="0" applyFont="1" applyFill="1" applyBorder="1"/>
    <xf numFmtId="0" fontId="21" fillId="33" borderId="0" xfId="0" applyFont="1" applyFill="1" applyBorder="1" applyAlignment="1">
      <alignment horizontal="right" vertical="center"/>
    </xf>
    <xf numFmtId="0" fontId="21" fillId="33" borderId="63" xfId="0" applyFont="1" applyFill="1" applyBorder="1" applyAlignment="1">
      <alignment vertical="center"/>
    </xf>
    <xf numFmtId="0" fontId="21" fillId="33" borderId="63" xfId="0" applyFont="1" applyFill="1" applyBorder="1" applyAlignment="1">
      <alignment vertical="center" wrapText="1"/>
    </xf>
    <xf numFmtId="0" fontId="21" fillId="33" borderId="65" xfId="0" applyFont="1" applyFill="1" applyBorder="1" applyAlignment="1">
      <alignment vertical="center"/>
    </xf>
    <xf numFmtId="3" fontId="20" fillId="27" borderId="30" xfId="0" applyNumberFormat="1" applyFont="1" applyFill="1" applyBorder="1" applyAlignment="1" applyProtection="1">
      <alignment horizontal="center"/>
      <protection locked="0"/>
    </xf>
    <xf numFmtId="3" fontId="20" fillId="27" borderId="31" xfId="0" applyNumberFormat="1" applyFont="1" applyFill="1" applyBorder="1" applyAlignment="1" applyProtection="1">
      <alignment horizontal="center"/>
      <protection locked="0"/>
    </xf>
    <xf numFmtId="0" fontId="20" fillId="0" borderId="67" xfId="0" applyFont="1" applyFill="1" applyBorder="1" applyAlignment="1">
      <alignment horizontal="center" vertical="center" wrapText="1"/>
    </xf>
    <xf numFmtId="0" fontId="0" fillId="0" borderId="0" xfId="0" applyAlignment="1">
      <alignment horizontal="left" vertical="top" wrapText="1"/>
    </xf>
    <xf numFmtId="0" fontId="21" fillId="0" borderId="0" xfId="0" applyFont="1" applyFill="1" applyBorder="1" applyAlignment="1">
      <alignment horizontal="left" vertical="top" wrapText="1"/>
    </xf>
    <xf numFmtId="0" fontId="21" fillId="0" borderId="0" xfId="0" applyFont="1" applyFill="1" applyAlignment="1">
      <alignment horizontal="left"/>
    </xf>
    <xf numFmtId="0" fontId="20" fillId="0" borderId="0" xfId="0" applyFont="1" applyFill="1" applyAlignment="1">
      <alignment horizontal="left"/>
    </xf>
    <xf numFmtId="4" fontId="20" fillId="27" borderId="23" xfId="0" applyNumberFormat="1" applyFont="1" applyFill="1" applyBorder="1" applyAlignment="1" applyProtection="1">
      <alignment horizontal="center"/>
      <protection locked="0"/>
    </xf>
    <xf numFmtId="4" fontId="20" fillId="27" borderId="24" xfId="0" applyNumberFormat="1" applyFont="1" applyFill="1" applyBorder="1" applyAlignment="1" applyProtection="1">
      <alignment horizontal="center"/>
      <protection locked="0"/>
    </xf>
    <xf numFmtId="3" fontId="20" fillId="27" borderId="25" xfId="0" applyNumberFormat="1" applyFont="1" applyFill="1" applyBorder="1" applyAlignment="1" applyProtection="1">
      <alignment horizontal="center"/>
      <protection locked="0"/>
    </xf>
    <xf numFmtId="4" fontId="20" fillId="27" borderId="26" xfId="0" applyNumberFormat="1" applyFont="1" applyFill="1" applyBorder="1" applyAlignment="1" applyProtection="1">
      <alignment horizontal="center"/>
      <protection locked="0"/>
    </xf>
    <xf numFmtId="4" fontId="20" fillId="27" borderId="14" xfId="0" applyNumberFormat="1" applyFont="1" applyFill="1" applyBorder="1" applyAlignment="1" applyProtection="1">
      <alignment horizontal="center"/>
      <protection locked="0"/>
    </xf>
    <xf numFmtId="3" fontId="20" fillId="27" borderId="20" xfId="0" applyNumberFormat="1" applyFont="1" applyFill="1" applyBorder="1" applyAlignment="1" applyProtection="1">
      <alignment horizontal="center"/>
      <protection locked="0"/>
    </xf>
    <xf numFmtId="4" fontId="20" fillId="27" borderId="27" xfId="0" applyNumberFormat="1" applyFont="1" applyFill="1" applyBorder="1" applyAlignment="1" applyProtection="1">
      <alignment horizontal="center"/>
      <protection locked="0"/>
    </xf>
    <xf numFmtId="4" fontId="20" fillId="27" borderId="28" xfId="0" applyNumberFormat="1" applyFont="1" applyFill="1" applyBorder="1" applyAlignment="1" applyProtection="1">
      <alignment horizontal="center"/>
      <protection locked="0"/>
    </xf>
    <xf numFmtId="3" fontId="20" fillId="27" borderId="29" xfId="0" applyNumberFormat="1" applyFont="1" applyFill="1" applyBorder="1" applyAlignment="1" applyProtection="1">
      <alignment horizontal="center"/>
      <protection locked="0"/>
    </xf>
    <xf numFmtId="0" fontId="21" fillId="32" borderId="24" xfId="0" applyFont="1" applyFill="1" applyBorder="1" applyAlignment="1" applyProtection="1">
      <alignment horizontal="center"/>
      <protection locked="0"/>
    </xf>
    <xf numFmtId="0" fontId="29" fillId="32" borderId="24" xfId="0" applyFont="1" applyFill="1" applyBorder="1" applyAlignment="1" applyProtection="1">
      <alignment horizontal="center"/>
      <protection locked="0"/>
    </xf>
    <xf numFmtId="0" fontId="21" fillId="32" borderId="25" xfId="0" applyFont="1" applyFill="1" applyBorder="1" applyAlignment="1" applyProtection="1">
      <alignment horizontal="center"/>
      <protection locked="0"/>
    </xf>
    <xf numFmtId="0" fontId="20" fillId="0" borderId="14" xfId="0" applyFont="1" applyFill="1" applyBorder="1" applyAlignment="1" applyProtection="1">
      <alignment horizontal="center"/>
      <protection locked="0"/>
    </xf>
    <xf numFmtId="0" fontId="20" fillId="0" borderId="20" xfId="0" applyFont="1" applyFill="1" applyBorder="1" applyAlignment="1" applyProtection="1">
      <alignment horizontal="center"/>
      <protection locked="0"/>
    </xf>
    <xf numFmtId="167" fontId="20" fillId="27" borderId="23" xfId="0" applyNumberFormat="1" applyFont="1" applyFill="1" applyBorder="1" applyAlignment="1" applyProtection="1">
      <alignment horizontal="center"/>
      <protection locked="0"/>
    </xf>
    <xf numFmtId="166" fontId="20" fillId="27" borderId="24" xfId="0" applyNumberFormat="1" applyFont="1" applyFill="1" applyBorder="1" applyAlignment="1" applyProtection="1">
      <alignment horizontal="center"/>
      <protection locked="0"/>
    </xf>
    <xf numFmtId="2" fontId="20" fillId="27" borderId="25" xfId="0" applyNumberFormat="1" applyFont="1" applyFill="1" applyBorder="1" applyAlignment="1" applyProtection="1">
      <alignment horizontal="center"/>
      <protection locked="0"/>
    </xf>
    <xf numFmtId="167" fontId="20" fillId="27" borderId="26" xfId="0" applyNumberFormat="1" applyFont="1" applyFill="1" applyBorder="1" applyAlignment="1" applyProtection="1">
      <alignment horizontal="center"/>
      <protection locked="0"/>
    </xf>
    <xf numFmtId="166" fontId="20" fillId="27" borderId="14" xfId="0" applyNumberFormat="1" applyFont="1" applyFill="1" applyBorder="1" applyAlignment="1" applyProtection="1">
      <alignment horizontal="center"/>
      <protection locked="0"/>
    </xf>
    <xf numFmtId="2" fontId="20" fillId="27" borderId="20" xfId="0" applyNumberFormat="1" applyFont="1" applyFill="1" applyBorder="1" applyAlignment="1" applyProtection="1">
      <alignment horizontal="center"/>
      <protection locked="0"/>
    </xf>
    <xf numFmtId="167" fontId="20" fillId="27" borderId="27" xfId="0" applyNumberFormat="1" applyFont="1" applyFill="1" applyBorder="1" applyAlignment="1" applyProtection="1">
      <alignment horizontal="center"/>
      <protection locked="0"/>
    </xf>
    <xf numFmtId="166" fontId="20" fillId="27" borderId="28" xfId="0" applyNumberFormat="1" applyFont="1" applyFill="1" applyBorder="1" applyAlignment="1" applyProtection="1">
      <alignment horizontal="center"/>
      <protection locked="0"/>
    </xf>
    <xf numFmtId="2" fontId="20" fillId="27" borderId="29" xfId="0" applyNumberFormat="1" applyFont="1" applyFill="1" applyBorder="1" applyAlignment="1" applyProtection="1">
      <alignment horizontal="center"/>
      <protection locked="0"/>
    </xf>
    <xf numFmtId="167" fontId="20" fillId="27" borderId="24" xfId="0" applyNumberFormat="1" applyFont="1" applyFill="1" applyBorder="1" applyAlignment="1" applyProtection="1">
      <alignment horizontal="center"/>
      <protection locked="0"/>
    </xf>
    <xf numFmtId="167" fontId="20" fillId="27" borderId="14" xfId="0" applyNumberFormat="1" applyFont="1" applyFill="1" applyBorder="1" applyAlignment="1" applyProtection="1">
      <alignment horizontal="center"/>
      <protection locked="0"/>
    </xf>
    <xf numFmtId="167" fontId="20" fillId="27" borderId="28" xfId="0" applyNumberFormat="1" applyFont="1" applyFill="1" applyBorder="1" applyAlignment="1" applyProtection="1">
      <alignment horizontal="center"/>
      <protection locked="0"/>
    </xf>
    <xf numFmtId="0" fontId="20" fillId="0" borderId="0" xfId="0" quotePrefix="1" applyFont="1" applyFill="1"/>
    <xf numFmtId="44" fontId="20" fillId="29" borderId="14" xfId="0" applyNumberFormat="1" applyFont="1" applyFill="1" applyBorder="1" applyAlignment="1" applyProtection="1">
      <alignment horizontal="center"/>
      <protection locked="0"/>
    </xf>
    <xf numFmtId="44" fontId="20" fillId="0" borderId="14" xfId="0" applyNumberFormat="1" applyFont="1" applyFill="1" applyBorder="1" applyAlignment="1" applyProtection="1">
      <alignment horizontal="center"/>
      <protection locked="0"/>
    </xf>
    <xf numFmtId="44" fontId="20" fillId="0" borderId="20" xfId="0" applyNumberFormat="1" applyFont="1" applyFill="1" applyBorder="1" applyAlignment="1" applyProtection="1">
      <alignment horizontal="center"/>
      <protection locked="0"/>
    </xf>
    <xf numFmtId="44" fontId="20" fillId="29" borderId="28" xfId="0" applyNumberFormat="1" applyFont="1" applyFill="1" applyBorder="1" applyAlignment="1" applyProtection="1">
      <alignment horizontal="center"/>
      <protection locked="0"/>
    </xf>
    <xf numFmtId="44" fontId="20" fillId="0" borderId="28" xfId="0" applyNumberFormat="1" applyFont="1" applyFill="1" applyBorder="1" applyAlignment="1" applyProtection="1">
      <alignment horizontal="center"/>
      <protection locked="0"/>
    </xf>
    <xf numFmtId="44" fontId="20" fillId="0" borderId="29" xfId="0" applyNumberFormat="1" applyFont="1" applyFill="1" applyBorder="1" applyAlignment="1" applyProtection="1">
      <alignment horizontal="center"/>
      <protection locked="0"/>
    </xf>
    <xf numFmtId="44" fontId="20" fillId="29" borderId="20" xfId="0" applyNumberFormat="1" applyFont="1" applyFill="1" applyBorder="1" applyAlignment="1" applyProtection="1">
      <alignment horizontal="center"/>
      <protection locked="0"/>
    </xf>
    <xf numFmtId="44" fontId="20" fillId="29" borderId="29" xfId="0" applyNumberFormat="1" applyFont="1" applyFill="1" applyBorder="1" applyAlignment="1" applyProtection="1">
      <alignment horizontal="center"/>
      <protection locked="0"/>
    </xf>
    <xf numFmtId="0" fontId="20" fillId="0" borderId="13" xfId="0" applyFont="1" applyFill="1" applyBorder="1" applyAlignment="1">
      <alignment horizontal="center" vertical="center" wrapText="1"/>
    </xf>
    <xf numFmtId="37" fontId="20" fillId="29" borderId="14" xfId="0" applyNumberFormat="1" applyFont="1" applyFill="1" applyBorder="1" applyAlignment="1" applyProtection="1">
      <alignment horizontal="center"/>
      <protection locked="0"/>
    </xf>
    <xf numFmtId="37" fontId="20" fillId="0" borderId="14" xfId="0" applyNumberFormat="1" applyFont="1" applyFill="1" applyBorder="1" applyAlignment="1" applyProtection="1">
      <alignment horizontal="center"/>
      <protection locked="0"/>
    </xf>
    <xf numFmtId="37" fontId="20" fillId="0" borderId="20" xfId="0" applyNumberFormat="1" applyFont="1" applyFill="1" applyBorder="1" applyAlignment="1" applyProtection="1">
      <alignment horizontal="center"/>
      <protection locked="0"/>
    </xf>
    <xf numFmtId="37" fontId="20" fillId="29" borderId="20" xfId="0" applyNumberFormat="1" applyFont="1" applyFill="1" applyBorder="1" applyAlignment="1" applyProtection="1">
      <alignment horizontal="center"/>
      <protection locked="0"/>
    </xf>
    <xf numFmtId="4" fontId="20" fillId="0" borderId="29" xfId="0" applyNumberFormat="1" applyFont="1" applyFill="1" applyBorder="1" applyAlignment="1">
      <alignment horizontal="center"/>
    </xf>
    <xf numFmtId="37" fontId="20" fillId="27" borderId="31" xfId="0" applyNumberFormat="1" applyFont="1" applyFill="1" applyBorder="1" applyAlignment="1" applyProtection="1">
      <alignment horizontal="center"/>
      <protection locked="0"/>
    </xf>
    <xf numFmtId="4" fontId="20" fillId="0" borderId="20" xfId="0" applyNumberFormat="1" applyFont="1" applyFill="1" applyBorder="1" applyAlignment="1">
      <alignment horizontal="center"/>
    </xf>
    <xf numFmtId="0" fontId="20" fillId="0" borderId="29" xfId="0" applyFont="1" applyFill="1" applyBorder="1" applyAlignment="1">
      <alignment horizontal="center"/>
    </xf>
    <xf numFmtId="0" fontId="24" fillId="25" borderId="68" xfId="38" applyFont="1" applyFill="1" applyBorder="1" applyAlignment="1">
      <alignment horizontal="center" vertical="center" wrapText="1"/>
    </xf>
    <xf numFmtId="0" fontId="22" fillId="0" borderId="69" xfId="38" applyFont="1" applyFill="1" applyBorder="1" applyAlignment="1">
      <alignment horizontal="left" vertical="center" wrapText="1" indent="1"/>
    </xf>
    <xf numFmtId="0" fontId="20" fillId="0" borderId="70" xfId="0" applyFont="1" applyFill="1" applyBorder="1" applyAlignment="1">
      <alignment horizontal="center" vertical="center"/>
    </xf>
    <xf numFmtId="0" fontId="30" fillId="0" borderId="71" xfId="0" applyFont="1" applyBorder="1" applyAlignment="1">
      <alignment horizontal="center" vertical="center"/>
    </xf>
    <xf numFmtId="0" fontId="30" fillId="0" borderId="69" xfId="0" applyFont="1" applyBorder="1" applyAlignment="1">
      <alignment horizontal="center" vertical="center"/>
    </xf>
    <xf numFmtId="0" fontId="20" fillId="0" borderId="72" xfId="0" applyFont="1" applyBorder="1"/>
    <xf numFmtId="0" fontId="21" fillId="0" borderId="64" xfId="0" applyFont="1" applyFill="1" applyBorder="1" applyAlignment="1">
      <alignment horizontal="left" vertical="center" indent="1"/>
    </xf>
    <xf numFmtId="0" fontId="22" fillId="0" borderId="20" xfId="38" applyFont="1" applyFill="1" applyBorder="1" applyAlignment="1">
      <alignment horizontal="left" vertical="center" wrapText="1" indent="1"/>
    </xf>
    <xf numFmtId="0" fontId="22" fillId="0" borderId="20" xfId="38" quotePrefix="1" applyFont="1" applyFill="1" applyBorder="1" applyAlignment="1">
      <alignment horizontal="left" vertical="center" indent="1"/>
    </xf>
    <xf numFmtId="0" fontId="22" fillId="0" borderId="20" xfId="38" applyFont="1" applyFill="1" applyBorder="1" applyAlignment="1">
      <alignment horizontal="left" vertical="center" indent="1"/>
    </xf>
    <xf numFmtId="0" fontId="22" fillId="0" borderId="72" xfId="38" applyFont="1" applyFill="1" applyBorder="1" applyAlignment="1">
      <alignment horizontal="left" vertical="center" wrapText="1" indent="1"/>
    </xf>
    <xf numFmtId="0" fontId="22" fillId="0" borderId="29" xfId="38" applyFont="1" applyFill="1" applyBorder="1" applyAlignment="1">
      <alignment horizontal="left" vertical="center" wrapText="1" indent="1"/>
    </xf>
    <xf numFmtId="0" fontId="31" fillId="25" borderId="73" xfId="0" applyFont="1" applyFill="1" applyBorder="1" applyAlignment="1">
      <alignment horizontal="center" vertical="center"/>
    </xf>
    <xf numFmtId="0" fontId="20" fillId="0" borderId="63" xfId="0" applyFont="1" applyFill="1" applyBorder="1" applyAlignment="1">
      <alignment wrapText="1"/>
    </xf>
    <xf numFmtId="0" fontId="20" fillId="0" borderId="0" xfId="0" applyFont="1" applyFill="1" applyBorder="1" applyAlignment="1">
      <alignment wrapText="1"/>
    </xf>
    <xf numFmtId="0" fontId="26" fillId="0" borderId="74" xfId="34" applyFont="1" applyFill="1" applyBorder="1" applyAlignment="1" applyProtection="1">
      <alignment horizontal="left" vertical="center" wrapText="1" indent="1"/>
    </xf>
    <xf numFmtId="0" fontId="26" fillId="0" borderId="37" xfId="34" applyFont="1" applyFill="1" applyBorder="1" applyAlignment="1" applyProtection="1">
      <alignment horizontal="left" vertical="center" wrapText="1" indent="1"/>
    </xf>
    <xf numFmtId="0" fontId="26" fillId="0" borderId="41" xfId="34" applyFont="1" applyFill="1" applyBorder="1" applyAlignment="1" applyProtection="1">
      <alignment horizontal="left" vertical="center" wrapText="1" indent="1"/>
    </xf>
    <xf numFmtId="0" fontId="26" fillId="0" borderId="56" xfId="34" applyFont="1" applyFill="1" applyBorder="1" applyAlignment="1" applyProtection="1">
      <alignment horizontal="left" vertical="center" wrapText="1" indent="1"/>
    </xf>
    <xf numFmtId="0" fontId="26" fillId="0" borderId="75" xfId="34" applyFont="1" applyFill="1" applyBorder="1" applyAlignment="1" applyProtection="1">
      <alignment horizontal="left" vertical="center" wrapText="1" indent="1"/>
    </xf>
    <xf numFmtId="0" fontId="26" fillId="0" borderId="76" xfId="34" applyFont="1" applyFill="1" applyBorder="1" applyAlignment="1" applyProtection="1">
      <alignment horizontal="left" vertical="center" wrapText="1" indent="1"/>
    </xf>
    <xf numFmtId="0" fontId="37" fillId="0" borderId="0" xfId="0" applyFont="1"/>
    <xf numFmtId="0" fontId="41" fillId="0" borderId="0" xfId="0" applyFont="1"/>
    <xf numFmtId="0" fontId="42" fillId="0" borderId="0" xfId="0" applyFont="1"/>
    <xf numFmtId="0" fontId="38" fillId="0" borderId="0" xfId="0" applyFont="1" applyAlignment="1">
      <alignment horizontal="left" indent="4"/>
    </xf>
    <xf numFmtId="0" fontId="34" fillId="34" borderId="77" xfId="0" applyFont="1" applyFill="1" applyBorder="1" applyAlignment="1">
      <alignment horizontal="center" vertical="center"/>
    </xf>
    <xf numFmtId="0" fontId="34" fillId="34" borderId="78" xfId="0" applyFont="1" applyFill="1" applyBorder="1" applyAlignment="1">
      <alignment horizontal="center" vertical="center"/>
    </xf>
    <xf numFmtId="0" fontId="34" fillId="34" borderId="79" xfId="0" applyFont="1" applyFill="1" applyBorder="1" applyAlignment="1">
      <alignment horizontal="center" vertical="center"/>
    </xf>
    <xf numFmtId="0" fontId="20" fillId="33" borderId="63" xfId="0" applyFont="1" applyFill="1" applyBorder="1" applyAlignment="1">
      <alignment wrapText="1"/>
    </xf>
    <xf numFmtId="0" fontId="0" fillId="33" borderId="0" xfId="0" applyFill="1" applyBorder="1" applyAlignment="1"/>
    <xf numFmtId="0" fontId="0" fillId="33" borderId="64" xfId="0" applyFill="1" applyBorder="1" applyAlignment="1"/>
    <xf numFmtId="0" fontId="20" fillId="33" borderId="65" xfId="0" applyFont="1" applyFill="1" applyBorder="1" applyAlignment="1">
      <alignment wrapText="1"/>
    </xf>
    <xf numFmtId="0" fontId="0" fillId="33" borderId="21" xfId="0" applyFill="1" applyBorder="1" applyAlignment="1"/>
    <xf numFmtId="0" fontId="0" fillId="33" borderId="66" xfId="0" applyFill="1" applyBorder="1" applyAlignment="1"/>
    <xf numFmtId="0" fontId="20" fillId="33" borderId="0" xfId="0" applyFont="1" applyFill="1" applyBorder="1" applyAlignment="1">
      <alignment vertical="center" wrapText="1"/>
    </xf>
    <xf numFmtId="0" fontId="20" fillId="33" borderId="64" xfId="0" applyFont="1" applyFill="1" applyBorder="1" applyAlignment="1">
      <alignment vertical="center" wrapText="1"/>
    </xf>
    <xf numFmtId="0" fontId="20" fillId="33" borderId="21" xfId="0" applyFont="1" applyFill="1" applyBorder="1" applyAlignment="1">
      <alignment vertical="center" wrapText="1"/>
    </xf>
    <xf numFmtId="0" fontId="20" fillId="33" borderId="66" xfId="0" applyFont="1" applyFill="1" applyBorder="1" applyAlignment="1">
      <alignment vertical="center" wrapText="1"/>
    </xf>
    <xf numFmtId="0" fontId="0" fillId="33" borderId="0" xfId="0" applyFill="1" applyBorder="1" applyAlignment="1">
      <alignment wrapText="1"/>
    </xf>
    <xf numFmtId="0" fontId="0" fillId="33" borderId="64" xfId="0" applyFill="1" applyBorder="1" applyAlignment="1">
      <alignment wrapText="1"/>
    </xf>
    <xf numFmtId="0" fontId="0" fillId="0" borderId="0" xfId="0" applyAlignment="1">
      <alignment wrapText="1"/>
    </xf>
    <xf numFmtId="0" fontId="0" fillId="0" borderId="64" xfId="0" applyBorder="1" applyAlignment="1">
      <alignment wrapText="1"/>
    </xf>
    <xf numFmtId="0" fontId="24" fillId="34" borderId="80" xfId="0" applyFont="1" applyFill="1" applyBorder="1" applyAlignment="1">
      <alignment horizontal="left"/>
    </xf>
    <xf numFmtId="0" fontId="32" fillId="34" borderId="35" xfId="0" applyFont="1" applyFill="1" applyBorder="1" applyAlignment="1">
      <alignment horizontal="left"/>
    </xf>
    <xf numFmtId="0" fontId="32" fillId="34" borderId="81" xfId="0" applyFont="1" applyFill="1" applyBorder="1" applyAlignment="1">
      <alignment horizontal="left"/>
    </xf>
    <xf numFmtId="0" fontId="33" fillId="0" borderId="35" xfId="0" applyFont="1" applyBorder="1" applyAlignment="1">
      <alignment horizontal="left"/>
    </xf>
    <xf numFmtId="0" fontId="33" fillId="0" borderId="81" xfId="0" applyFont="1" applyBorder="1" applyAlignment="1">
      <alignment horizontal="left"/>
    </xf>
    <xf numFmtId="0" fontId="21" fillId="0" borderId="63" xfId="0" applyFont="1" applyFill="1" applyBorder="1" applyAlignment="1" applyProtection="1">
      <alignment horizontal="left" vertical="top" wrapText="1"/>
      <protection locked="0"/>
    </xf>
    <xf numFmtId="0" fontId="0" fillId="0" borderId="0" xfId="0" applyAlignment="1">
      <alignment horizontal="left" vertical="top" wrapText="1"/>
    </xf>
    <xf numFmtId="0" fontId="0" fillId="0" borderId="63" xfId="0" applyBorder="1" applyAlignment="1">
      <alignment horizontal="left" vertical="top" wrapText="1"/>
    </xf>
    <xf numFmtId="0" fontId="27" fillId="24" borderId="82" xfId="34" applyFont="1" applyFill="1" applyBorder="1" applyAlignment="1" applyProtection="1">
      <alignment horizontal="left" vertical="center"/>
    </xf>
    <xf numFmtId="0" fontId="27" fillId="0" borderId="83" xfId="34" applyFont="1" applyBorder="1" applyAlignment="1" applyProtection="1"/>
    <xf numFmtId="0" fontId="25" fillId="0" borderId="0" xfId="0" applyFont="1" applyFill="1" applyAlignment="1" applyProtection="1">
      <alignment horizontal="left" vertical="top" wrapText="1"/>
      <protection locked="0"/>
    </xf>
    <xf numFmtId="0" fontId="21" fillId="0" borderId="63" xfId="0" applyFont="1" applyFill="1" applyBorder="1" applyAlignment="1">
      <alignment horizontal="left" vertical="top" wrapText="1"/>
    </xf>
    <xf numFmtId="0" fontId="0" fillId="0" borderId="0" xfId="0" applyAlignment="1"/>
    <xf numFmtId="0" fontId="21" fillId="0" borderId="0" xfId="0" applyFont="1" applyFill="1" applyBorder="1" applyAlignment="1">
      <alignment horizontal="left" vertical="top" wrapText="1"/>
    </xf>
    <xf numFmtId="0" fontId="25" fillId="35" borderId="0" xfId="0" applyFont="1" applyFill="1" applyAlignment="1" applyProtection="1">
      <alignment horizontal="left" vertical="top" wrapText="1"/>
      <protection locked="0"/>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Sheet1"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8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3:A18"/>
  <sheetViews>
    <sheetView tabSelected="1" workbookViewId="0">
      <selection activeCell="A16" sqref="A16"/>
    </sheetView>
  </sheetViews>
  <sheetFormatPr defaultRowHeight="12.75"/>
  <cols>
    <col min="1" max="16384" width="9.140625" style="273"/>
  </cols>
  <sheetData>
    <row r="3" spans="1:1" ht="15">
      <c r="A3" s="274" t="s">
        <v>291</v>
      </c>
    </row>
    <row r="5" spans="1:1" ht="15.75">
      <c r="A5" s="275" t="s">
        <v>292</v>
      </c>
    </row>
    <row r="7" spans="1:1" ht="15.75">
      <c r="A7" s="276" t="s">
        <v>293</v>
      </c>
    </row>
    <row r="9" spans="1:1" ht="15.75">
      <c r="A9" s="276" t="s">
        <v>294</v>
      </c>
    </row>
    <row r="11" spans="1:1" ht="15.75">
      <c r="A11" s="276" t="s">
        <v>295</v>
      </c>
    </row>
    <row r="13" spans="1:1" ht="15.75">
      <c r="A13" s="276" t="s">
        <v>296</v>
      </c>
    </row>
    <row r="15" spans="1:1" ht="15.75">
      <c r="A15" s="276" t="s">
        <v>298</v>
      </c>
    </row>
    <row r="18" spans="1:1">
      <c r="A18" s="273" t="s">
        <v>297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codeName="Sheet56"/>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Poultry Litter Treatment (alum, for example)</v>
      </c>
      <c r="I1" s="22"/>
      <c r="J1" s="37" t="s">
        <v>135</v>
      </c>
      <c r="K1" s="50">
        <v>1</v>
      </c>
      <c r="L1" s="22"/>
      <c r="M1" s="22"/>
      <c r="N1" s="22"/>
      <c r="O1" s="22"/>
      <c r="P1" s="22"/>
      <c r="Q1" s="22"/>
      <c r="R1" s="22"/>
    </row>
    <row r="2" spans="1:19" s="20" customFormat="1" ht="12.75" customHeight="1">
      <c r="D2" s="48" t="s">
        <v>3</v>
      </c>
      <c r="E2" s="19" t="str">
        <f>VLOOKUP($K$1,'BMP info'!A:G,4,FALSE)</f>
        <v>Alum</v>
      </c>
      <c r="I2" s="23"/>
      <c r="L2" s="23"/>
      <c r="M2" s="23"/>
      <c r="N2" s="23"/>
      <c r="O2" s="23"/>
      <c r="P2" s="23"/>
      <c r="Q2" s="23"/>
      <c r="R2" s="23"/>
      <c r="S2" s="23"/>
    </row>
    <row r="3" spans="1:19" s="20" customFormat="1" ht="12.75" customHeight="1">
      <c r="D3" s="48" t="s">
        <v>79</v>
      </c>
      <c r="E3" s="19" t="str">
        <f>VLOOKUP($K$1,'BMP info'!A:G,5,FALSE)</f>
        <v>animal unit</v>
      </c>
      <c r="I3" s="23"/>
      <c r="K3" s="49"/>
      <c r="L3" s="23"/>
      <c r="M3" s="23"/>
      <c r="N3" s="23"/>
      <c r="O3" s="23"/>
      <c r="P3" s="23"/>
      <c r="Q3" s="23"/>
      <c r="R3" s="23"/>
      <c r="S3" s="23"/>
    </row>
    <row r="4" spans="1:19" s="20" customFormat="1" ht="12.75" customHeight="1">
      <c r="D4" s="48" t="s">
        <v>170</v>
      </c>
      <c r="E4" s="19" t="str">
        <f>VLOOKUP($K$1,'BMP info'!A:G,6,FALSE)</f>
        <v>animal</v>
      </c>
      <c r="I4" s="23"/>
      <c r="K4" s="49"/>
      <c r="L4" s="23"/>
      <c r="M4" s="23"/>
      <c r="N4" s="23"/>
      <c r="O4" s="23"/>
      <c r="P4" s="23"/>
      <c r="Q4" s="23"/>
      <c r="R4" s="23"/>
      <c r="S4" s="23"/>
    </row>
    <row r="5" spans="1:19" s="20" customFormat="1">
      <c r="D5" s="48" t="s">
        <v>4</v>
      </c>
      <c r="E5" s="19" t="str">
        <f>VLOOKUP($K$1,'BMP info'!A:G,7,FALSE)</f>
        <v>P5.3.2</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t="str">
        <f t="shared" ref="D13:F16" si="0">IF(D27*$D$34=0,"-",1000*D27/$D$34)</f>
        <v>-</v>
      </c>
      <c r="E13" s="29" t="str">
        <f t="shared" si="0"/>
        <v>-</v>
      </c>
      <c r="F13" s="51" t="str">
        <f t="shared" si="0"/>
        <v>-</v>
      </c>
      <c r="G13" s="305" t="s">
        <v>254</v>
      </c>
      <c r="H13" s="300"/>
      <c r="J13" s="24" t="s">
        <v>9</v>
      </c>
      <c r="K13" s="28" t="str">
        <f t="shared" ref="K13:M16" si="1">IF(K27*$D$34=0,"-",1000*K27/$D$34)</f>
        <v>-</v>
      </c>
      <c r="L13" s="29" t="str">
        <f t="shared" si="1"/>
        <v>-</v>
      </c>
      <c r="M13" s="51" t="str">
        <f t="shared" si="1"/>
        <v>-</v>
      </c>
      <c r="N13" s="305" t="s">
        <v>133</v>
      </c>
      <c r="O13" s="300"/>
    </row>
    <row r="14" spans="1:19">
      <c r="C14" s="24" t="s">
        <v>7</v>
      </c>
      <c r="D14" s="31" t="str">
        <f t="shared" si="0"/>
        <v>-</v>
      </c>
      <c r="E14" s="32" t="str">
        <f t="shared" si="0"/>
        <v>-</v>
      </c>
      <c r="F14" s="52" t="str">
        <f t="shared" si="0"/>
        <v>-</v>
      </c>
      <c r="G14" s="301"/>
      <c r="H14" s="300"/>
      <c r="J14" s="24" t="s">
        <v>7</v>
      </c>
      <c r="K14" s="31" t="str">
        <f t="shared" si="1"/>
        <v>-</v>
      </c>
      <c r="L14" s="32" t="str">
        <f t="shared" si="1"/>
        <v>-</v>
      </c>
      <c r="M14" s="52" t="str">
        <f t="shared" si="1"/>
        <v>-</v>
      </c>
      <c r="N14" s="301"/>
      <c r="O14" s="300"/>
    </row>
    <row r="15" spans="1:19">
      <c r="C15" s="24" t="s">
        <v>8</v>
      </c>
      <c r="D15" s="31" t="str">
        <f t="shared" si="0"/>
        <v>-</v>
      </c>
      <c r="E15" s="32" t="str">
        <f t="shared" si="0"/>
        <v>-</v>
      </c>
      <c r="F15" s="52" t="str">
        <f t="shared" si="0"/>
        <v>-</v>
      </c>
      <c r="G15" s="301"/>
      <c r="H15" s="300"/>
      <c r="J15" s="24" t="s">
        <v>8</v>
      </c>
      <c r="K15" s="31" t="str">
        <f t="shared" si="1"/>
        <v>-</v>
      </c>
      <c r="L15" s="32" t="str">
        <f t="shared" si="1"/>
        <v>-</v>
      </c>
      <c r="M15" s="52" t="str">
        <f t="shared" si="1"/>
        <v>-</v>
      </c>
      <c r="N15" s="301"/>
      <c r="O15" s="300"/>
    </row>
    <row r="16" spans="1:19" ht="13.5" thickBot="1">
      <c r="C16" s="24" t="s">
        <v>6</v>
      </c>
      <c r="D16" s="34" t="str">
        <f t="shared" si="0"/>
        <v>-</v>
      </c>
      <c r="E16" s="35" t="str">
        <f t="shared" si="0"/>
        <v>-</v>
      </c>
      <c r="F16" s="53" t="str">
        <f t="shared" si="0"/>
        <v>-</v>
      </c>
      <c r="G16" s="301"/>
      <c r="H16" s="300"/>
      <c r="J16" s="24" t="s">
        <v>6</v>
      </c>
      <c r="K16" s="34" t="str">
        <f t="shared" si="1"/>
        <v>-</v>
      </c>
      <c r="L16" s="35" t="str">
        <f t="shared" si="1"/>
        <v>-</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t="str">
        <f t="shared" ref="D20:F23" si="2">IF(D27=0,"-",$D$34/D27)</f>
        <v>-</v>
      </c>
      <c r="E20" s="29" t="str">
        <f t="shared" si="2"/>
        <v>-</v>
      </c>
      <c r="F20" s="51" t="str">
        <f t="shared" si="2"/>
        <v>-</v>
      </c>
      <c r="G20" s="305" t="s">
        <v>253</v>
      </c>
      <c r="H20" s="300"/>
      <c r="J20" s="24" t="s">
        <v>9</v>
      </c>
      <c r="K20" s="28" t="str">
        <f t="shared" ref="K20:M23" si="3">IF(K27=0,"-",$D$34/K27)</f>
        <v>-</v>
      </c>
      <c r="L20" s="29" t="str">
        <f t="shared" si="3"/>
        <v>-</v>
      </c>
      <c r="M20" s="51" t="str">
        <f t="shared" si="3"/>
        <v>-</v>
      </c>
      <c r="N20" s="305" t="s">
        <v>132</v>
      </c>
      <c r="O20" s="300"/>
    </row>
    <row r="21" spans="1:16">
      <c r="C21" s="24" t="s">
        <v>7</v>
      </c>
      <c r="D21" s="31" t="str">
        <f t="shared" si="2"/>
        <v>-</v>
      </c>
      <c r="E21" s="32" t="str">
        <f t="shared" si="2"/>
        <v>-</v>
      </c>
      <c r="F21" s="52" t="str">
        <f t="shared" si="2"/>
        <v>-</v>
      </c>
      <c r="G21" s="301"/>
      <c r="H21" s="300"/>
      <c r="J21" s="24" t="s">
        <v>7</v>
      </c>
      <c r="K21" s="31" t="str">
        <f t="shared" si="3"/>
        <v>-</v>
      </c>
      <c r="L21" s="32" t="str">
        <f t="shared" si="3"/>
        <v>-</v>
      </c>
      <c r="M21" s="52" t="str">
        <f t="shared" si="3"/>
        <v>-</v>
      </c>
      <c r="N21" s="301"/>
      <c r="O21" s="300"/>
    </row>
    <row r="22" spans="1:16">
      <c r="C22" s="24" t="s">
        <v>8</v>
      </c>
      <c r="D22" s="31" t="str">
        <f t="shared" si="2"/>
        <v>-</v>
      </c>
      <c r="E22" s="32" t="str">
        <f t="shared" si="2"/>
        <v>-</v>
      </c>
      <c r="F22" s="52" t="str">
        <f t="shared" si="2"/>
        <v>-</v>
      </c>
      <c r="G22" s="301"/>
      <c r="H22" s="300"/>
      <c r="J22" s="24" t="s">
        <v>8</v>
      </c>
      <c r="K22" s="31" t="str">
        <f t="shared" si="3"/>
        <v>-</v>
      </c>
      <c r="L22" s="32" t="str">
        <f t="shared" si="3"/>
        <v>-</v>
      </c>
      <c r="M22" s="52" t="str">
        <f t="shared" si="3"/>
        <v>-</v>
      </c>
      <c r="N22" s="301"/>
      <c r="O22" s="300"/>
    </row>
    <row r="23" spans="1:16" ht="13.5" thickBot="1">
      <c r="C23" s="24" t="s">
        <v>6</v>
      </c>
      <c r="D23" s="34" t="str">
        <f t="shared" si="2"/>
        <v>-</v>
      </c>
      <c r="E23" s="35" t="str">
        <f t="shared" si="2"/>
        <v>-</v>
      </c>
      <c r="F23" s="53" t="str">
        <f t="shared" si="2"/>
        <v>-</v>
      </c>
      <c r="G23" s="301"/>
      <c r="H23" s="300"/>
      <c r="J23" s="24" t="s">
        <v>6</v>
      </c>
      <c r="K23" s="34" t="str">
        <f t="shared" si="3"/>
        <v>-</v>
      </c>
      <c r="L23" s="35" t="str">
        <f t="shared" si="3"/>
        <v>-</v>
      </c>
      <c r="M23" s="53" t="str">
        <f t="shared" si="3"/>
        <v>-</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c r="E27" s="209"/>
      <c r="F27" s="210"/>
      <c r="G27" s="305" t="str">
        <f>"EOS pounds removed per '"&amp;E3&amp;"' of practice per year"</f>
        <v>EOS pounds removed per 'animal unit' of practice per year</v>
      </c>
      <c r="H27" s="300"/>
      <c r="J27" s="24" t="s">
        <v>9</v>
      </c>
      <c r="K27" s="56"/>
      <c r="L27" s="209"/>
      <c r="M27" s="210"/>
      <c r="N27" s="299" t="str">
        <f>"delivered pounds removed per '"&amp;E3&amp;"' of practice per year"</f>
        <v>delivered pounds removed per 'animal unit' of practice per year</v>
      </c>
      <c r="O27" s="300"/>
      <c r="P27" s="204"/>
    </row>
    <row r="28" spans="1:16">
      <c r="C28" s="24" t="s">
        <v>7</v>
      </c>
      <c r="D28" s="211"/>
      <c r="E28" s="212"/>
      <c r="F28" s="213"/>
      <c r="G28" s="301"/>
      <c r="H28" s="300"/>
      <c r="J28" s="24" t="s">
        <v>7</v>
      </c>
      <c r="K28" s="57"/>
      <c r="L28" s="212"/>
      <c r="M28" s="213"/>
      <c r="N28" s="301"/>
      <c r="O28" s="300"/>
      <c r="P28" s="204"/>
    </row>
    <row r="29" spans="1:16">
      <c r="C29" s="24" t="s">
        <v>8</v>
      </c>
      <c r="D29" s="211"/>
      <c r="E29" s="212"/>
      <c r="F29" s="213"/>
      <c r="G29" s="301"/>
      <c r="H29" s="300"/>
      <c r="J29" s="24" t="s">
        <v>8</v>
      </c>
      <c r="K29" s="57"/>
      <c r="L29" s="212"/>
      <c r="M29" s="213"/>
      <c r="N29" s="301"/>
      <c r="O29" s="300"/>
      <c r="P29" s="204"/>
    </row>
    <row r="30" spans="1:16" ht="13.5" thickBot="1">
      <c r="C30" s="24" t="s">
        <v>6</v>
      </c>
      <c r="D30" s="214"/>
      <c r="E30" s="215"/>
      <c r="F30" s="216"/>
      <c r="G30" s="301"/>
      <c r="H30" s="300"/>
      <c r="J30" s="24" t="s">
        <v>6</v>
      </c>
      <c r="K30" s="58"/>
      <c r="L30" s="215"/>
      <c r="M30" s="216"/>
      <c r="N30" s="301"/>
      <c r="O30" s="300"/>
      <c r="P30" s="204"/>
    </row>
    <row r="31" spans="1:16" ht="13.5" thickBot="1"/>
    <row r="32" spans="1:16" s="42" customFormat="1">
      <c r="A32" s="86" t="s">
        <v>1</v>
      </c>
    </row>
    <row r="33" spans="1:12" ht="5.25" customHeight="1" thickBot="1"/>
    <row r="34" spans="1:12" ht="13.5" thickBot="1">
      <c r="C34" s="24" t="s">
        <v>11</v>
      </c>
      <c r="D34" s="46">
        <f>-PMT(D39,D38,D36)+D37</f>
        <v>5</v>
      </c>
      <c r="E34" s="18" t="str">
        <f>"$ per '"&amp;E3&amp;"' of practice per year"</f>
        <v>$ per 'animal unit'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0</v>
      </c>
      <c r="E36" s="18" t="str">
        <f>"$ per '"&amp;E3&amp;"' of practice"</f>
        <v>$ per 'animal unit' of practice</v>
      </c>
      <c r="I36" s="78" t="s">
        <v>162</v>
      </c>
      <c r="J36" s="236">
        <v>0</v>
      </c>
      <c r="K36" s="235">
        <v>0</v>
      </c>
      <c r="L36" s="237"/>
    </row>
    <row r="37" spans="1:12">
      <c r="C37" s="24" t="s">
        <v>12</v>
      </c>
      <c r="D37" s="39">
        <f>K37</f>
        <v>5</v>
      </c>
      <c r="E37" s="18" t="str">
        <f>"$ per '"&amp;E3&amp;"' of practice per year"</f>
        <v>$ per 'animal unit' of practice per year</v>
      </c>
      <c r="I37" s="78" t="s">
        <v>161</v>
      </c>
      <c r="J37" s="236">
        <v>49</v>
      </c>
      <c r="K37" s="235">
        <v>5</v>
      </c>
      <c r="L37" s="237"/>
    </row>
    <row r="38" spans="1:12">
      <c r="C38" s="24" t="s">
        <v>13</v>
      </c>
      <c r="D38" s="249">
        <f>K38</f>
        <v>1</v>
      </c>
      <c r="E38" s="18" t="s">
        <v>15</v>
      </c>
      <c r="I38" s="78" t="s">
        <v>163</v>
      </c>
      <c r="J38" s="245">
        <v>1</v>
      </c>
      <c r="K38" s="244">
        <v>1</v>
      </c>
      <c r="L38" s="246"/>
    </row>
    <row r="39" spans="1:12" ht="13.5" thickBot="1">
      <c r="C39" s="24" t="s">
        <v>14</v>
      </c>
      <c r="D39" s="41">
        <f>Summary!C35</f>
        <v>0</v>
      </c>
      <c r="E39" s="18" t="s">
        <v>16</v>
      </c>
      <c r="I39" s="80" t="s">
        <v>166</v>
      </c>
      <c r="J39" s="239">
        <f>J37</f>
        <v>49</v>
      </c>
      <c r="K39" s="238">
        <f>K37</f>
        <v>5</v>
      </c>
      <c r="L39" s="240"/>
    </row>
    <row r="40" spans="1:12">
      <c r="F40" s="234"/>
    </row>
    <row r="41" spans="1:12">
      <c r="I41" s="304" t="s">
        <v>272</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57"/>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Animal Waste Management System</v>
      </c>
      <c r="I1" s="22"/>
      <c r="J1" s="37" t="s">
        <v>135</v>
      </c>
      <c r="K1" s="50">
        <v>2</v>
      </c>
      <c r="L1" s="22"/>
      <c r="M1" s="22"/>
      <c r="N1" s="22"/>
      <c r="O1" s="22"/>
      <c r="P1" s="22"/>
      <c r="Q1" s="22"/>
      <c r="R1" s="22"/>
    </row>
    <row r="2" spans="1:19" s="20" customFormat="1" ht="12.75" customHeight="1">
      <c r="D2" s="48" t="s">
        <v>3</v>
      </c>
      <c r="E2" s="19" t="str">
        <f>VLOOKUP($K$1,'BMP info'!A:G,4,FALSE)</f>
        <v>AWMS</v>
      </c>
      <c r="I2" s="23"/>
      <c r="L2" s="23"/>
      <c r="M2" s="23"/>
      <c r="N2" s="23"/>
      <c r="O2" s="23"/>
      <c r="P2" s="23"/>
      <c r="Q2" s="23"/>
      <c r="R2" s="23"/>
      <c r="S2" s="23"/>
    </row>
    <row r="3" spans="1:19" s="20" customFormat="1" ht="12.75" customHeight="1">
      <c r="D3" s="48" t="s">
        <v>79</v>
      </c>
      <c r="E3" s="19" t="str">
        <f>VLOOKUP($K$1,'BMP info'!A:G,5,FALSE)</f>
        <v>animal unit</v>
      </c>
      <c r="I3" s="23"/>
      <c r="K3" s="49"/>
      <c r="L3" s="23"/>
      <c r="M3" s="23"/>
      <c r="N3" s="23"/>
      <c r="O3" s="23"/>
      <c r="P3" s="23"/>
      <c r="Q3" s="23"/>
      <c r="R3" s="23"/>
      <c r="S3" s="23"/>
    </row>
    <row r="4" spans="1:19" s="20" customFormat="1" ht="12.75" customHeight="1">
      <c r="D4" s="48" t="s">
        <v>170</v>
      </c>
      <c r="E4" s="19" t="str">
        <f>VLOOKUP($K$1,'BMP info'!A:G,6,FALSE)</f>
        <v>animal</v>
      </c>
      <c r="I4" s="23"/>
      <c r="K4" s="49"/>
      <c r="L4" s="23"/>
      <c r="M4" s="23"/>
      <c r="N4" s="23"/>
      <c r="O4" s="23"/>
      <c r="P4" s="23"/>
      <c r="Q4" s="23"/>
      <c r="R4" s="23"/>
      <c r="S4" s="23"/>
    </row>
    <row r="5" spans="1:19" s="20" customFormat="1">
      <c r="D5" s="48" t="s">
        <v>4</v>
      </c>
      <c r="E5" s="19" t="str">
        <f>VLOOKUP($K$1,'BMP info'!A:G,7,FALSE)</f>
        <v>P5.3.2</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t="str">
        <f t="shared" ref="D13:F16" si="0">IF(D27*$D$34=0,"-",1000*D27/$D$34)</f>
        <v>-</v>
      </c>
      <c r="E13" s="29" t="str">
        <f t="shared" si="0"/>
        <v>-</v>
      </c>
      <c r="F13" s="51" t="str">
        <f t="shared" si="0"/>
        <v>-</v>
      </c>
      <c r="G13" s="305" t="s">
        <v>254</v>
      </c>
      <c r="H13" s="300"/>
      <c r="J13" s="24" t="s">
        <v>9</v>
      </c>
      <c r="K13" s="28" t="str">
        <f t="shared" ref="K13:M16" si="1">IF(K27*$D$34=0,"-",1000*K27/$D$34)</f>
        <v>-</v>
      </c>
      <c r="L13" s="29" t="str">
        <f t="shared" si="1"/>
        <v>-</v>
      </c>
      <c r="M13" s="51" t="str">
        <f t="shared" si="1"/>
        <v>-</v>
      </c>
      <c r="N13" s="305" t="s">
        <v>133</v>
      </c>
      <c r="O13" s="300"/>
    </row>
    <row r="14" spans="1:19">
      <c r="C14" s="24" t="s">
        <v>7</v>
      </c>
      <c r="D14" s="31" t="str">
        <f t="shared" si="0"/>
        <v>-</v>
      </c>
      <c r="E14" s="32" t="str">
        <f t="shared" si="0"/>
        <v>-</v>
      </c>
      <c r="F14" s="52" t="str">
        <f t="shared" si="0"/>
        <v>-</v>
      </c>
      <c r="G14" s="301"/>
      <c r="H14" s="300"/>
      <c r="J14" s="24" t="s">
        <v>7</v>
      </c>
      <c r="K14" s="31" t="str">
        <f t="shared" si="1"/>
        <v>-</v>
      </c>
      <c r="L14" s="32" t="str">
        <f t="shared" si="1"/>
        <v>-</v>
      </c>
      <c r="M14" s="52" t="str">
        <f t="shared" si="1"/>
        <v>-</v>
      </c>
      <c r="N14" s="301"/>
      <c r="O14" s="300"/>
    </row>
    <row r="15" spans="1:19">
      <c r="C15" s="24" t="s">
        <v>8</v>
      </c>
      <c r="D15" s="31" t="str">
        <f t="shared" si="0"/>
        <v>-</v>
      </c>
      <c r="E15" s="32" t="str">
        <f t="shared" si="0"/>
        <v>-</v>
      </c>
      <c r="F15" s="52" t="str">
        <f t="shared" si="0"/>
        <v>-</v>
      </c>
      <c r="G15" s="301"/>
      <c r="H15" s="300"/>
      <c r="J15" s="24" t="s">
        <v>8</v>
      </c>
      <c r="K15" s="31" t="str">
        <f t="shared" si="1"/>
        <v>-</v>
      </c>
      <c r="L15" s="32" t="str">
        <f t="shared" si="1"/>
        <v>-</v>
      </c>
      <c r="M15" s="52" t="str">
        <f t="shared" si="1"/>
        <v>-</v>
      </c>
      <c r="N15" s="301"/>
      <c r="O15" s="300"/>
    </row>
    <row r="16" spans="1:19" ht="13.5" thickBot="1">
      <c r="C16" s="24" t="s">
        <v>6</v>
      </c>
      <c r="D16" s="34" t="str">
        <f t="shared" si="0"/>
        <v>-</v>
      </c>
      <c r="E16" s="35" t="str">
        <f t="shared" si="0"/>
        <v>-</v>
      </c>
      <c r="F16" s="53" t="str">
        <f t="shared" si="0"/>
        <v>-</v>
      </c>
      <c r="G16" s="301"/>
      <c r="H16" s="300"/>
      <c r="J16" s="24" t="s">
        <v>6</v>
      </c>
      <c r="K16" s="34" t="str">
        <f t="shared" si="1"/>
        <v>-</v>
      </c>
      <c r="L16" s="35" t="str">
        <f t="shared" si="1"/>
        <v>-</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t="str">
        <f t="shared" ref="D20:F23" si="2">IF(D27=0,"-",$D$34/D27)</f>
        <v>-</v>
      </c>
      <c r="E20" s="29" t="str">
        <f t="shared" si="2"/>
        <v>-</v>
      </c>
      <c r="F20" s="51" t="str">
        <f t="shared" si="2"/>
        <v>-</v>
      </c>
      <c r="G20" s="305" t="s">
        <v>253</v>
      </c>
      <c r="H20" s="300"/>
      <c r="J20" s="24" t="s">
        <v>9</v>
      </c>
      <c r="K20" s="28" t="str">
        <f t="shared" ref="K20:M23" si="3">IF(K27=0,"-",$D$34/K27)</f>
        <v>-</v>
      </c>
      <c r="L20" s="29" t="str">
        <f t="shared" si="3"/>
        <v>-</v>
      </c>
      <c r="M20" s="51" t="str">
        <f t="shared" si="3"/>
        <v>-</v>
      </c>
      <c r="N20" s="305" t="s">
        <v>132</v>
      </c>
      <c r="O20" s="300"/>
    </row>
    <row r="21" spans="1:16">
      <c r="C21" s="24" t="s">
        <v>7</v>
      </c>
      <c r="D21" s="31" t="str">
        <f t="shared" si="2"/>
        <v>-</v>
      </c>
      <c r="E21" s="32" t="str">
        <f t="shared" si="2"/>
        <v>-</v>
      </c>
      <c r="F21" s="52" t="str">
        <f t="shared" si="2"/>
        <v>-</v>
      </c>
      <c r="G21" s="301"/>
      <c r="H21" s="300"/>
      <c r="J21" s="24" t="s">
        <v>7</v>
      </c>
      <c r="K21" s="31" t="str">
        <f t="shared" si="3"/>
        <v>-</v>
      </c>
      <c r="L21" s="32" t="str">
        <f t="shared" si="3"/>
        <v>-</v>
      </c>
      <c r="M21" s="52" t="str">
        <f t="shared" si="3"/>
        <v>-</v>
      </c>
      <c r="N21" s="301"/>
      <c r="O21" s="300"/>
    </row>
    <row r="22" spans="1:16">
      <c r="C22" s="24" t="s">
        <v>8</v>
      </c>
      <c r="D22" s="31" t="str">
        <f t="shared" si="2"/>
        <v>-</v>
      </c>
      <c r="E22" s="32" t="str">
        <f t="shared" si="2"/>
        <v>-</v>
      </c>
      <c r="F22" s="52" t="str">
        <f t="shared" si="2"/>
        <v>-</v>
      </c>
      <c r="G22" s="301"/>
      <c r="H22" s="300"/>
      <c r="J22" s="24" t="s">
        <v>8</v>
      </c>
      <c r="K22" s="31" t="str">
        <f t="shared" si="3"/>
        <v>-</v>
      </c>
      <c r="L22" s="32" t="str">
        <f t="shared" si="3"/>
        <v>-</v>
      </c>
      <c r="M22" s="52" t="str">
        <f t="shared" si="3"/>
        <v>-</v>
      </c>
      <c r="N22" s="301"/>
      <c r="O22" s="300"/>
    </row>
    <row r="23" spans="1:16" ht="13.5" thickBot="1">
      <c r="C23" s="24" t="s">
        <v>6</v>
      </c>
      <c r="D23" s="34" t="str">
        <f t="shared" si="2"/>
        <v>-</v>
      </c>
      <c r="E23" s="35" t="str">
        <f t="shared" si="2"/>
        <v>-</v>
      </c>
      <c r="F23" s="53" t="str">
        <f t="shared" si="2"/>
        <v>-</v>
      </c>
      <c r="G23" s="301"/>
      <c r="H23" s="300"/>
      <c r="J23" s="24" t="s">
        <v>6</v>
      </c>
      <c r="K23" s="34" t="str">
        <f t="shared" si="3"/>
        <v>-</v>
      </c>
      <c r="L23" s="35" t="str">
        <f t="shared" si="3"/>
        <v>-</v>
      </c>
      <c r="M23" s="53" t="str">
        <f t="shared" si="3"/>
        <v>-</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c r="E27" s="209"/>
      <c r="F27" s="210"/>
      <c r="G27" s="305" t="str">
        <f>"EOS pounds removed per '"&amp;E3&amp;"' of practice per year"</f>
        <v>EOS pounds removed per 'animal unit' of practice per year</v>
      </c>
      <c r="H27" s="300"/>
      <c r="J27" s="24" t="s">
        <v>9</v>
      </c>
      <c r="K27" s="56"/>
      <c r="L27" s="209"/>
      <c r="M27" s="210"/>
      <c r="N27" s="299" t="str">
        <f>"delivered pounds removed per '"&amp;E3&amp;"' of practice per year"</f>
        <v>delivered pounds removed per 'animal unit' of practice per year</v>
      </c>
      <c r="O27" s="300"/>
      <c r="P27" s="204"/>
    </row>
    <row r="28" spans="1:16">
      <c r="C28" s="24" t="s">
        <v>7</v>
      </c>
      <c r="D28" s="211"/>
      <c r="E28" s="212"/>
      <c r="F28" s="213"/>
      <c r="G28" s="301"/>
      <c r="H28" s="300"/>
      <c r="J28" s="24" t="s">
        <v>7</v>
      </c>
      <c r="K28" s="57"/>
      <c r="L28" s="212"/>
      <c r="M28" s="213"/>
      <c r="N28" s="301"/>
      <c r="O28" s="300"/>
      <c r="P28" s="204"/>
    </row>
    <row r="29" spans="1:16">
      <c r="C29" s="24" t="s">
        <v>8</v>
      </c>
      <c r="D29" s="211"/>
      <c r="E29" s="212"/>
      <c r="F29" s="213"/>
      <c r="G29" s="301"/>
      <c r="H29" s="300"/>
      <c r="J29" s="24" t="s">
        <v>8</v>
      </c>
      <c r="K29" s="57"/>
      <c r="L29" s="212"/>
      <c r="M29" s="213"/>
      <c r="N29" s="301"/>
      <c r="O29" s="300"/>
      <c r="P29" s="204"/>
    </row>
    <row r="30" spans="1:16" ht="13.5" thickBot="1">
      <c r="C30" s="24" t="s">
        <v>6</v>
      </c>
      <c r="D30" s="214"/>
      <c r="E30" s="215"/>
      <c r="F30" s="216"/>
      <c r="G30" s="301"/>
      <c r="H30" s="300"/>
      <c r="J30" s="24" t="s">
        <v>6</v>
      </c>
      <c r="K30" s="58"/>
      <c r="L30" s="215"/>
      <c r="M30" s="216"/>
      <c r="N30" s="301"/>
      <c r="O30" s="300"/>
      <c r="P30" s="204"/>
    </row>
    <row r="31" spans="1:16" ht="13.5" thickBot="1"/>
    <row r="32" spans="1:16" s="42" customFormat="1">
      <c r="A32" s="86" t="s">
        <v>1</v>
      </c>
    </row>
    <row r="33" spans="1:12" ht="5.25" customHeight="1" thickBot="1"/>
    <row r="34" spans="1:12" ht="13.5" thickBot="1">
      <c r="C34" s="24" t="s">
        <v>11</v>
      </c>
      <c r="D34" s="46">
        <f>-PMT(D39,D38,D36)+D37</f>
        <v>23.2</v>
      </c>
      <c r="E34" s="18" t="str">
        <f>"$ per '"&amp;E3&amp;"' of practice per year"</f>
        <v>$ per 'animal unit' of practice per year</v>
      </c>
      <c r="I34" s="82" t="s">
        <v>169</v>
      </c>
      <c r="J34" s="217" t="s">
        <v>160</v>
      </c>
      <c r="K34" s="217"/>
      <c r="L34" s="219" t="s">
        <v>165</v>
      </c>
    </row>
    <row r="35" spans="1:12" ht="5.25" customHeight="1" thickBot="1">
      <c r="C35" s="24"/>
      <c r="D35" s="47"/>
      <c r="E35" s="18"/>
      <c r="I35" s="78"/>
      <c r="J35" s="220"/>
      <c r="K35" s="220"/>
      <c r="L35" s="221"/>
    </row>
    <row r="36" spans="1:12">
      <c r="C36" s="24" t="s">
        <v>10</v>
      </c>
      <c r="D36" s="38">
        <f>K36</f>
        <v>348</v>
      </c>
      <c r="E36" s="18" t="str">
        <f>"$ per '"&amp;E3&amp;"' of practice"</f>
        <v>$ per 'animal unit' of practice</v>
      </c>
      <c r="I36" s="78" t="s">
        <v>162</v>
      </c>
      <c r="J36" s="236">
        <v>475</v>
      </c>
      <c r="K36" s="235">
        <v>348</v>
      </c>
      <c r="L36" s="237"/>
    </row>
    <row r="37" spans="1:12">
      <c r="C37" s="24" t="s">
        <v>12</v>
      </c>
      <c r="D37" s="39">
        <f>K37</f>
        <v>0</v>
      </c>
      <c r="E37" s="18" t="str">
        <f>"$ per '"&amp;E3&amp;"' of practice per year"</f>
        <v>$ per 'animal unit' of practice per year</v>
      </c>
      <c r="I37" s="78" t="s">
        <v>161</v>
      </c>
      <c r="J37" s="236">
        <v>36</v>
      </c>
      <c r="K37" s="235">
        <v>0</v>
      </c>
      <c r="L37" s="237"/>
    </row>
    <row r="38" spans="1:12">
      <c r="C38" s="24" t="s">
        <v>13</v>
      </c>
      <c r="D38" s="249">
        <f>K38</f>
        <v>15</v>
      </c>
      <c r="E38" s="18" t="s">
        <v>15</v>
      </c>
      <c r="I38" s="78" t="s">
        <v>163</v>
      </c>
      <c r="J38" s="245">
        <v>10</v>
      </c>
      <c r="K38" s="244">
        <v>15</v>
      </c>
      <c r="L38" s="246"/>
    </row>
    <row r="39" spans="1:12" ht="13.5" thickBot="1">
      <c r="C39" s="24" t="s">
        <v>14</v>
      </c>
      <c r="D39" s="41">
        <f>Summary!C35</f>
        <v>0</v>
      </c>
      <c r="E39" s="18" t="s">
        <v>16</v>
      </c>
      <c r="I39" s="80" t="s">
        <v>166</v>
      </c>
      <c r="J39" s="239">
        <f>(J36/J38)+J37</f>
        <v>83.5</v>
      </c>
      <c r="K39" s="238">
        <f>(K36/K38)+K37</f>
        <v>23.2</v>
      </c>
      <c r="L39" s="240"/>
    </row>
    <row r="40" spans="1:12">
      <c r="F40" s="234"/>
    </row>
    <row r="41" spans="1:12">
      <c r="I41" s="304" t="s">
        <v>273</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40"/>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0" style="17" bestFit="1" customWidth="1"/>
    <col min="13" max="16384" width="9.140625" style="17"/>
  </cols>
  <sheetData>
    <row r="1" spans="1:19" s="20" customFormat="1" ht="21" customHeight="1">
      <c r="A1" s="302" t="s">
        <v>136</v>
      </c>
      <c r="B1" s="303"/>
      <c r="D1" s="25" t="s">
        <v>134</v>
      </c>
      <c r="E1" s="89" t="str">
        <f>VLOOKUP($K$1,'BMP info'!A:G,3,FALSE)</f>
        <v>Barnyard Runoff Control</v>
      </c>
      <c r="I1" s="22"/>
      <c r="J1" s="37" t="s">
        <v>135</v>
      </c>
      <c r="K1" s="50">
        <v>3</v>
      </c>
      <c r="L1" s="22"/>
      <c r="M1" s="22"/>
      <c r="N1" s="22"/>
      <c r="O1" s="22"/>
      <c r="P1" s="22"/>
      <c r="Q1" s="22"/>
      <c r="R1" s="22"/>
    </row>
    <row r="2" spans="1:19" s="20" customFormat="1" ht="12.75" customHeight="1">
      <c r="D2" s="48" t="s">
        <v>3</v>
      </c>
      <c r="E2" s="19" t="str">
        <f>VLOOKUP($K$1,'BMP info'!A:G,4,FALSE)</f>
        <v>BarnRunoffCont</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efficiency applied</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79.561403508771932</v>
      </c>
      <c r="E13" s="29">
        <f t="shared" si="0"/>
        <v>12.298245614035087</v>
      </c>
      <c r="F13" s="51">
        <f t="shared" si="0"/>
        <v>3750.8771929824561</v>
      </c>
      <c r="G13" s="305" t="s">
        <v>254</v>
      </c>
      <c r="H13" s="300"/>
      <c r="J13" s="24" t="s">
        <v>9</v>
      </c>
      <c r="K13" s="28">
        <f t="shared" ref="K13:M16" si="1">IF(K27*$D$34=0,"-",1000*K27/$D$34)</f>
        <v>54.824561403508774</v>
      </c>
      <c r="L13" s="29">
        <f t="shared" si="1"/>
        <v>7.3859649122807021</v>
      </c>
      <c r="M13" s="51">
        <f t="shared" si="1"/>
        <v>2429.8245614035086</v>
      </c>
      <c r="N13" s="305" t="s">
        <v>133</v>
      </c>
      <c r="O13" s="300"/>
    </row>
    <row r="14" spans="1:19">
      <c r="C14" s="24" t="s">
        <v>7</v>
      </c>
      <c r="D14" s="31">
        <f t="shared" si="0"/>
        <v>72.78947368421052</v>
      </c>
      <c r="E14" s="32">
        <f t="shared" si="0"/>
        <v>10.789473684210526</v>
      </c>
      <c r="F14" s="52">
        <f t="shared" si="0"/>
        <v>2117.5438596491226</v>
      </c>
      <c r="G14" s="301"/>
      <c r="H14" s="300"/>
      <c r="J14" s="24" t="s">
        <v>7</v>
      </c>
      <c r="K14" s="31">
        <f t="shared" si="1"/>
        <v>56.175438596491233</v>
      </c>
      <c r="L14" s="32">
        <f t="shared" si="1"/>
        <v>8.3508771929824555</v>
      </c>
      <c r="M14" s="52">
        <f t="shared" si="1"/>
        <v>1378.9473684210527</v>
      </c>
      <c r="N14" s="301"/>
      <c r="O14" s="300"/>
    </row>
    <row r="15" spans="1:19">
      <c r="C15" s="24" t="s">
        <v>8</v>
      </c>
      <c r="D15" s="31">
        <f t="shared" si="0"/>
        <v>37.771929824561404</v>
      </c>
      <c r="E15" s="32">
        <f t="shared" si="0"/>
        <v>6.0701754385964914</v>
      </c>
      <c r="F15" s="52">
        <f t="shared" si="0"/>
        <v>2207.0175438596493</v>
      </c>
      <c r="G15" s="301"/>
      <c r="H15" s="300"/>
      <c r="J15" s="24" t="s">
        <v>8</v>
      </c>
      <c r="K15" s="31">
        <f t="shared" si="1"/>
        <v>15.070175438596491</v>
      </c>
      <c r="L15" s="32">
        <f t="shared" si="1"/>
        <v>3.736842105263158</v>
      </c>
      <c r="M15" s="52">
        <f t="shared" si="1"/>
        <v>1305.2631578947369</v>
      </c>
      <c r="N15" s="301"/>
      <c r="O15" s="300"/>
    </row>
    <row r="16" spans="1:19" ht="13.5" thickBot="1">
      <c r="C16" s="24" t="s">
        <v>6</v>
      </c>
      <c r="D16" s="34">
        <f t="shared" si="0"/>
        <v>10.280701754385966</v>
      </c>
      <c r="E16" s="35">
        <f t="shared" si="0"/>
        <v>1.5087719298245614</v>
      </c>
      <c r="F16" s="53">
        <f t="shared" si="0"/>
        <v>235.08771929824562</v>
      </c>
      <c r="G16" s="301"/>
      <c r="H16" s="300"/>
      <c r="J16" s="24" t="s">
        <v>6</v>
      </c>
      <c r="K16" s="34">
        <f t="shared" si="1"/>
        <v>2.3333333333333335</v>
      </c>
      <c r="L16" s="35">
        <f t="shared" si="1"/>
        <v>0.82456140350877194</v>
      </c>
      <c r="M16" s="53">
        <f t="shared" si="1"/>
        <v>182.45614035087721</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12.56890848952591</v>
      </c>
      <c r="E20" s="29">
        <f t="shared" si="2"/>
        <v>81.312410841654781</v>
      </c>
      <c r="F20" s="51">
        <f t="shared" si="2"/>
        <v>0.26660430308699717</v>
      </c>
      <c r="G20" s="305" t="s">
        <v>253</v>
      </c>
      <c r="H20" s="300"/>
      <c r="J20" s="24" t="s">
        <v>9</v>
      </c>
      <c r="K20" s="28">
        <f t="shared" ref="K20:M23" si="3">IF(K27=0,"-",$D$34/K27)</f>
        <v>18.239999999999998</v>
      </c>
      <c r="L20" s="29">
        <f t="shared" si="3"/>
        <v>135.39192399049881</v>
      </c>
      <c r="M20" s="51">
        <f t="shared" si="3"/>
        <v>0.41155234657039713</v>
      </c>
      <c r="N20" s="305" t="s">
        <v>132</v>
      </c>
      <c r="O20" s="300"/>
    </row>
    <row r="21" spans="1:16">
      <c r="C21" s="24" t="s">
        <v>7</v>
      </c>
      <c r="D21" s="31">
        <f t="shared" si="2"/>
        <v>13.73825018076645</v>
      </c>
      <c r="E21" s="32">
        <f t="shared" si="2"/>
        <v>92.682926829268283</v>
      </c>
      <c r="F21" s="52">
        <f t="shared" si="2"/>
        <v>0.47224523612261804</v>
      </c>
      <c r="G21" s="301"/>
      <c r="H21" s="300"/>
      <c r="J21" s="24" t="s">
        <v>7</v>
      </c>
      <c r="K21" s="31">
        <f t="shared" si="3"/>
        <v>17.801374141161773</v>
      </c>
      <c r="L21" s="32">
        <f t="shared" si="3"/>
        <v>119.74789915966387</v>
      </c>
      <c r="M21" s="52">
        <f t="shared" si="3"/>
        <v>0.72519083969465647</v>
      </c>
      <c r="N21" s="301"/>
      <c r="O21" s="300"/>
    </row>
    <row r="22" spans="1:16">
      <c r="C22" s="24" t="s">
        <v>8</v>
      </c>
      <c r="D22" s="31">
        <f t="shared" si="2"/>
        <v>26.474686483975848</v>
      </c>
      <c r="E22" s="32">
        <f t="shared" si="2"/>
        <v>164.73988439306359</v>
      </c>
      <c r="F22" s="52">
        <f t="shared" si="2"/>
        <v>0.45310015898251194</v>
      </c>
      <c r="G22" s="301"/>
      <c r="H22" s="300"/>
      <c r="J22" s="24" t="s">
        <v>8</v>
      </c>
      <c r="K22" s="31">
        <f t="shared" si="3"/>
        <v>66.35622817229337</v>
      </c>
      <c r="L22" s="32">
        <f t="shared" si="3"/>
        <v>267.6056338028169</v>
      </c>
      <c r="M22" s="52">
        <f t="shared" si="3"/>
        <v>0.7661290322580645</v>
      </c>
      <c r="N22" s="301"/>
      <c r="O22" s="300"/>
    </row>
    <row r="23" spans="1:16" ht="13.5" thickBot="1">
      <c r="C23" s="24" t="s">
        <v>6</v>
      </c>
      <c r="D23" s="34">
        <f t="shared" si="2"/>
        <v>97.269624573378834</v>
      </c>
      <c r="E23" s="35">
        <f t="shared" si="2"/>
        <v>662.79069767441865</v>
      </c>
      <c r="F23" s="53">
        <f t="shared" si="2"/>
        <v>4.2537313432835822</v>
      </c>
      <c r="G23" s="301"/>
      <c r="H23" s="300"/>
      <c r="J23" s="24" t="s">
        <v>6</v>
      </c>
      <c r="K23" s="34">
        <f t="shared" si="3"/>
        <v>428.57142857142856</v>
      </c>
      <c r="L23" s="35">
        <f t="shared" si="3"/>
        <v>1212.7659574468087</v>
      </c>
      <c r="M23" s="53">
        <f t="shared" si="3"/>
        <v>5.4807692307692308</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45.35</v>
      </c>
      <c r="E27" s="209">
        <v>7.01</v>
      </c>
      <c r="F27" s="210">
        <v>2138</v>
      </c>
      <c r="G27" s="305" t="str">
        <f>"EOS pounds removed per '"&amp;E3&amp;"' of practice per year"</f>
        <v>EOS pounds removed per 'acre' of practice per year</v>
      </c>
      <c r="H27" s="300"/>
      <c r="J27" s="24" t="s">
        <v>9</v>
      </c>
      <c r="K27" s="56">
        <v>31.25</v>
      </c>
      <c r="L27" s="209">
        <v>4.21</v>
      </c>
      <c r="M27" s="210">
        <v>1385</v>
      </c>
      <c r="N27" s="299" t="str">
        <f>"delivered pounds removed per '"&amp;E3&amp;"' of practice per year"</f>
        <v>delivered pounds removed per 'acre' of practice per year</v>
      </c>
      <c r="O27" s="300"/>
      <c r="P27" s="204"/>
    </row>
    <row r="28" spans="1:16">
      <c r="C28" s="24" t="s">
        <v>7</v>
      </c>
      <c r="D28" s="211">
        <v>41.49</v>
      </c>
      <c r="E28" s="212">
        <v>6.15</v>
      </c>
      <c r="F28" s="213">
        <v>1207</v>
      </c>
      <c r="G28" s="301"/>
      <c r="H28" s="300"/>
      <c r="J28" s="24" t="s">
        <v>7</v>
      </c>
      <c r="K28" s="57">
        <v>32.020000000000003</v>
      </c>
      <c r="L28" s="212">
        <v>4.76</v>
      </c>
      <c r="M28" s="213">
        <v>786</v>
      </c>
      <c r="N28" s="301"/>
      <c r="O28" s="300"/>
      <c r="P28" s="204"/>
    </row>
    <row r="29" spans="1:16">
      <c r="C29" s="24" t="s">
        <v>8</v>
      </c>
      <c r="D29" s="211">
        <v>21.53</v>
      </c>
      <c r="E29" s="212">
        <v>3.46</v>
      </c>
      <c r="F29" s="213">
        <v>1258</v>
      </c>
      <c r="G29" s="301"/>
      <c r="H29" s="300"/>
      <c r="J29" s="24" t="s">
        <v>8</v>
      </c>
      <c r="K29" s="57">
        <v>8.59</v>
      </c>
      <c r="L29" s="212">
        <v>2.13</v>
      </c>
      <c r="M29" s="213">
        <v>744</v>
      </c>
      <c r="N29" s="301"/>
      <c r="O29" s="300"/>
      <c r="P29" s="204"/>
    </row>
    <row r="30" spans="1:16" ht="13.5" thickBot="1">
      <c r="C30" s="24" t="s">
        <v>6</v>
      </c>
      <c r="D30" s="214">
        <v>5.86</v>
      </c>
      <c r="E30" s="215">
        <v>0.86</v>
      </c>
      <c r="F30" s="216">
        <v>134</v>
      </c>
      <c r="G30" s="301"/>
      <c r="H30" s="300"/>
      <c r="J30" s="24" t="s">
        <v>6</v>
      </c>
      <c r="K30" s="58">
        <v>1.33</v>
      </c>
      <c r="L30" s="215">
        <v>0.47</v>
      </c>
      <c r="M30" s="216">
        <v>104</v>
      </c>
      <c r="N30" s="301"/>
      <c r="O30" s="300"/>
      <c r="P30" s="204"/>
    </row>
    <row r="31" spans="1:16" ht="13.5" thickBot="1"/>
    <row r="32" spans="1:16" s="42" customFormat="1">
      <c r="A32" s="86" t="s">
        <v>1</v>
      </c>
    </row>
    <row r="33" spans="1:12" ht="5.25" customHeight="1" thickBot="1">
      <c r="K33" s="44"/>
    </row>
    <row r="34" spans="1:12" ht="13.5" thickBot="1">
      <c r="C34" s="24" t="s">
        <v>11</v>
      </c>
      <c r="D34" s="46">
        <f>-PMT(D39,D38,D36)+D37</f>
        <v>570</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5700</v>
      </c>
      <c r="E36" s="18" t="str">
        <f>"$ per '"&amp;E3&amp;"' of practice"</f>
        <v>$ per 'acre' of practice</v>
      </c>
      <c r="I36" s="78" t="s">
        <v>162</v>
      </c>
      <c r="J36" s="236">
        <v>993</v>
      </c>
      <c r="K36" s="235">
        <v>5700</v>
      </c>
      <c r="L36" s="237">
        <f>AVERAGE(J36:K36)</f>
        <v>3346.5</v>
      </c>
    </row>
    <row r="37" spans="1:12">
      <c r="C37" s="24" t="s">
        <v>12</v>
      </c>
      <c r="D37" s="39">
        <f>L37</f>
        <v>0</v>
      </c>
      <c r="E37" s="18" t="str">
        <f>"$ per '"&amp;E3&amp;"' of practice per year"</f>
        <v>$ per 'acre' of practice per year</v>
      </c>
      <c r="I37" s="78" t="s">
        <v>161</v>
      </c>
      <c r="J37" s="236">
        <v>0</v>
      </c>
      <c r="K37" s="235">
        <v>0</v>
      </c>
      <c r="L37" s="237">
        <v>0</v>
      </c>
    </row>
    <row r="38" spans="1:12">
      <c r="C38" s="24" t="s">
        <v>13</v>
      </c>
      <c r="D38" s="249">
        <f>K38</f>
        <v>10</v>
      </c>
      <c r="E38" s="18" t="s">
        <v>15</v>
      </c>
      <c r="I38" s="78" t="s">
        <v>163</v>
      </c>
      <c r="J38" s="245">
        <v>15</v>
      </c>
      <c r="K38" s="244">
        <v>10</v>
      </c>
      <c r="L38" s="246">
        <v>15</v>
      </c>
    </row>
    <row r="39" spans="1:12" ht="13.5" thickBot="1">
      <c r="C39" s="24" t="s">
        <v>14</v>
      </c>
      <c r="D39" s="41">
        <f>Summary!C35</f>
        <v>0</v>
      </c>
      <c r="E39" s="18" t="s">
        <v>16</v>
      </c>
      <c r="I39" s="80" t="s">
        <v>166</v>
      </c>
      <c r="J39" s="239">
        <f>(J36/J38)+J37</f>
        <v>66.2</v>
      </c>
      <c r="K39" s="238">
        <f>(K36/K38)+K37</f>
        <v>570</v>
      </c>
      <c r="L39" s="240">
        <f>(L36/L38)+L37</f>
        <v>223.1</v>
      </c>
    </row>
    <row r="40" spans="1:12">
      <c r="F40" s="234"/>
    </row>
    <row r="41" spans="1:12">
      <c r="I41" s="304" t="s">
        <v>262</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43"/>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1" width="10" style="17" bestFit="1" customWidth="1"/>
    <col min="12" max="16384" width="9.140625" style="17"/>
  </cols>
  <sheetData>
    <row r="1" spans="1:19" s="20" customFormat="1" ht="21" customHeight="1">
      <c r="A1" s="302" t="s">
        <v>136</v>
      </c>
      <c r="B1" s="303"/>
      <c r="D1" s="25" t="s">
        <v>134</v>
      </c>
      <c r="E1" s="89" t="str">
        <f>VLOOKUP($K$1,'BMP info'!A:G,3,FALSE)</f>
        <v>Irrigation Water Capture Reuse</v>
      </c>
      <c r="I1" s="22"/>
      <c r="J1" s="37" t="s">
        <v>135</v>
      </c>
      <c r="K1" s="50">
        <v>4</v>
      </c>
      <c r="L1" s="22"/>
      <c r="M1" s="22"/>
      <c r="N1" s="22"/>
      <c r="O1" s="22"/>
      <c r="P1" s="22"/>
      <c r="Q1" s="22"/>
      <c r="R1" s="22"/>
    </row>
    <row r="2" spans="1:19" s="20" customFormat="1" ht="12.75" customHeight="1">
      <c r="D2" s="48" t="s">
        <v>3</v>
      </c>
      <c r="E2" s="19" t="str">
        <f>VLOOKUP($K$1,'BMP info'!A:G,4,FALSE)</f>
        <v>CaptureReuse</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efficiency applied</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364.84</v>
      </c>
      <c r="E13" s="29">
        <f t="shared" si="0"/>
        <v>95.98</v>
      </c>
      <c r="F13" s="51" t="str">
        <f t="shared" si="0"/>
        <v>-</v>
      </c>
      <c r="G13" s="305" t="s">
        <v>254</v>
      </c>
      <c r="H13" s="300"/>
      <c r="J13" s="24" t="s">
        <v>9</v>
      </c>
      <c r="K13" s="28">
        <f t="shared" ref="K13:M16" si="1">IF(K27*$D$34=0,"-",1000*K27/$D$34)</f>
        <v>289.62</v>
      </c>
      <c r="L13" s="29">
        <f t="shared" si="1"/>
        <v>80.239999999999995</v>
      </c>
      <c r="M13" s="51" t="str">
        <f t="shared" si="1"/>
        <v>-</v>
      </c>
      <c r="N13" s="305" t="s">
        <v>133</v>
      </c>
      <c r="O13" s="300"/>
    </row>
    <row r="14" spans="1:19">
      <c r="C14" s="24" t="s">
        <v>7</v>
      </c>
      <c r="D14" s="31">
        <f t="shared" si="0"/>
        <v>265.42</v>
      </c>
      <c r="E14" s="32">
        <f t="shared" si="0"/>
        <v>77.44</v>
      </c>
      <c r="F14" s="52" t="str">
        <f t="shared" si="0"/>
        <v>-</v>
      </c>
      <c r="G14" s="301"/>
      <c r="H14" s="300"/>
      <c r="J14" s="24" t="s">
        <v>7</v>
      </c>
      <c r="K14" s="31">
        <f t="shared" si="1"/>
        <v>212.18</v>
      </c>
      <c r="L14" s="32">
        <f t="shared" si="1"/>
        <v>63.8</v>
      </c>
      <c r="M14" s="52" t="str">
        <f t="shared" si="1"/>
        <v>-</v>
      </c>
      <c r="N14" s="301"/>
      <c r="O14" s="300"/>
    </row>
    <row r="15" spans="1:19">
      <c r="C15" s="24" t="s">
        <v>8</v>
      </c>
      <c r="D15" s="31">
        <f t="shared" si="0"/>
        <v>207.76</v>
      </c>
      <c r="E15" s="32">
        <f t="shared" si="0"/>
        <v>64.900000000000006</v>
      </c>
      <c r="F15" s="52" t="str">
        <f t="shared" si="0"/>
        <v>-</v>
      </c>
      <c r="G15" s="301"/>
      <c r="H15" s="300"/>
      <c r="J15" s="24" t="s">
        <v>8</v>
      </c>
      <c r="K15" s="31">
        <f t="shared" si="1"/>
        <v>207.76</v>
      </c>
      <c r="L15" s="32">
        <f t="shared" si="1"/>
        <v>64.900000000000006</v>
      </c>
      <c r="M15" s="52" t="str">
        <f t="shared" si="1"/>
        <v>-</v>
      </c>
      <c r="N15" s="301"/>
      <c r="O15" s="300"/>
    </row>
    <row r="16" spans="1:19" ht="13.5" thickBot="1">
      <c r="C16" s="24" t="s">
        <v>6</v>
      </c>
      <c r="D16" s="34">
        <f t="shared" si="0"/>
        <v>198.4</v>
      </c>
      <c r="E16" s="35">
        <f t="shared" si="0"/>
        <v>58.5</v>
      </c>
      <c r="F16" s="53" t="str">
        <f t="shared" si="0"/>
        <v>-</v>
      </c>
      <c r="G16" s="301"/>
      <c r="H16" s="300"/>
      <c r="J16" s="24" t="s">
        <v>6</v>
      </c>
      <c r="K16" s="34">
        <f t="shared" si="1"/>
        <v>156.4</v>
      </c>
      <c r="L16" s="35">
        <f t="shared" si="1"/>
        <v>54.74</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2.7409275298761102</v>
      </c>
      <c r="E20" s="29">
        <f t="shared" si="2"/>
        <v>10.418837257762034</v>
      </c>
      <c r="F20" s="51" t="str">
        <f t="shared" si="2"/>
        <v>-</v>
      </c>
      <c r="G20" s="305" t="s">
        <v>253</v>
      </c>
      <c r="H20" s="300"/>
      <c r="J20" s="24" t="s">
        <v>9</v>
      </c>
      <c r="K20" s="28">
        <f t="shared" ref="K20:M23" si="3">IF(K27=0,"-",$D$34/K27)</f>
        <v>3.4528002209792139</v>
      </c>
      <c r="L20" s="29">
        <f t="shared" si="3"/>
        <v>12.462612163509473</v>
      </c>
      <c r="M20" s="51" t="str">
        <f t="shared" si="3"/>
        <v>-</v>
      </c>
      <c r="N20" s="305" t="s">
        <v>132</v>
      </c>
      <c r="O20" s="300"/>
    </row>
    <row r="21" spans="1:16">
      <c r="C21" s="24" t="s">
        <v>7</v>
      </c>
      <c r="D21" s="31">
        <f t="shared" si="2"/>
        <v>3.7676135935498452</v>
      </c>
      <c r="E21" s="32">
        <f t="shared" si="2"/>
        <v>12.913223140495868</v>
      </c>
      <c r="F21" s="52" t="str">
        <f t="shared" si="2"/>
        <v>-</v>
      </c>
      <c r="G21" s="301"/>
      <c r="H21" s="300"/>
      <c r="J21" s="24" t="s">
        <v>7</v>
      </c>
      <c r="K21" s="31">
        <f t="shared" si="3"/>
        <v>4.7129795456687713</v>
      </c>
      <c r="L21" s="32">
        <f t="shared" si="3"/>
        <v>15.673981191222571</v>
      </c>
      <c r="M21" s="52" t="str">
        <f t="shared" si="3"/>
        <v>-</v>
      </c>
      <c r="N21" s="301"/>
      <c r="O21" s="300"/>
    </row>
    <row r="22" spans="1:16">
      <c r="C22" s="24" t="s">
        <v>8</v>
      </c>
      <c r="D22" s="31">
        <f t="shared" si="2"/>
        <v>4.8132460531382364</v>
      </c>
      <c r="E22" s="32">
        <f t="shared" si="2"/>
        <v>15.408320493066254</v>
      </c>
      <c r="F22" s="52" t="str">
        <f t="shared" si="2"/>
        <v>-</v>
      </c>
      <c r="G22" s="301"/>
      <c r="H22" s="300"/>
      <c r="J22" s="24" t="s">
        <v>8</v>
      </c>
      <c r="K22" s="31">
        <f t="shared" si="3"/>
        <v>4.8132460531382364</v>
      </c>
      <c r="L22" s="32">
        <f t="shared" si="3"/>
        <v>15.408320493066254</v>
      </c>
      <c r="M22" s="52" t="str">
        <f t="shared" si="3"/>
        <v>-</v>
      </c>
      <c r="N22" s="301"/>
      <c r="O22" s="300"/>
    </row>
    <row r="23" spans="1:16" ht="13.5" thickBot="1">
      <c r="C23" s="24" t="s">
        <v>6</v>
      </c>
      <c r="D23" s="34">
        <f t="shared" si="2"/>
        <v>5.040322580645161</v>
      </c>
      <c r="E23" s="35">
        <f t="shared" si="2"/>
        <v>17.094017094017094</v>
      </c>
      <c r="F23" s="53" t="str">
        <f t="shared" si="2"/>
        <v>-</v>
      </c>
      <c r="G23" s="301"/>
      <c r="H23" s="300"/>
      <c r="J23" s="24" t="s">
        <v>6</v>
      </c>
      <c r="K23" s="34">
        <f t="shared" si="3"/>
        <v>6.3938618925831197</v>
      </c>
      <c r="L23" s="35">
        <f t="shared" si="3"/>
        <v>18.26817683595177</v>
      </c>
      <c r="M23" s="53" t="str">
        <f t="shared" si="3"/>
        <v>-</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182.42</v>
      </c>
      <c r="E27" s="209">
        <v>47.99</v>
      </c>
      <c r="F27" s="210">
        <v>0</v>
      </c>
      <c r="G27" s="305" t="str">
        <f>"EOS pounds removed per '"&amp;E3&amp;"' of practice per year"</f>
        <v>EOS pounds removed per 'acre' of practice per year</v>
      </c>
      <c r="H27" s="300"/>
      <c r="J27" s="24" t="s">
        <v>9</v>
      </c>
      <c r="K27" s="56">
        <v>144.81</v>
      </c>
      <c r="L27" s="209">
        <v>40.119999999999997</v>
      </c>
      <c r="M27" s="210">
        <v>0</v>
      </c>
      <c r="N27" s="299" t="str">
        <f>"delivered pounds removed per '"&amp;E3&amp;"' of practice per year"</f>
        <v>delivered pounds removed per 'acre' of practice per year</v>
      </c>
      <c r="O27" s="300"/>
      <c r="P27" s="204"/>
    </row>
    <row r="28" spans="1:16">
      <c r="C28" s="24" t="s">
        <v>7</v>
      </c>
      <c r="D28" s="211">
        <v>132.71</v>
      </c>
      <c r="E28" s="212">
        <v>38.72</v>
      </c>
      <c r="F28" s="213">
        <v>0</v>
      </c>
      <c r="G28" s="301"/>
      <c r="H28" s="300"/>
      <c r="J28" s="24" t="s">
        <v>7</v>
      </c>
      <c r="K28" s="57">
        <v>106.09</v>
      </c>
      <c r="L28" s="212">
        <v>31.9</v>
      </c>
      <c r="M28" s="213">
        <v>0</v>
      </c>
      <c r="N28" s="301"/>
      <c r="O28" s="300"/>
      <c r="P28" s="204"/>
    </row>
    <row r="29" spans="1:16">
      <c r="C29" s="24" t="s">
        <v>8</v>
      </c>
      <c r="D29" s="211">
        <v>103.88</v>
      </c>
      <c r="E29" s="212">
        <v>32.450000000000003</v>
      </c>
      <c r="F29" s="213">
        <v>0</v>
      </c>
      <c r="G29" s="301"/>
      <c r="H29" s="300"/>
      <c r="J29" s="24" t="s">
        <v>8</v>
      </c>
      <c r="K29" s="57">
        <v>103.88</v>
      </c>
      <c r="L29" s="212">
        <v>32.450000000000003</v>
      </c>
      <c r="M29" s="213">
        <v>0</v>
      </c>
      <c r="N29" s="301"/>
      <c r="O29" s="300"/>
      <c r="P29" s="204"/>
    </row>
    <row r="30" spans="1:16" ht="13.5" thickBot="1">
      <c r="C30" s="24" t="s">
        <v>6</v>
      </c>
      <c r="D30" s="214">
        <v>99.2</v>
      </c>
      <c r="E30" s="215">
        <v>29.25</v>
      </c>
      <c r="F30" s="216">
        <v>0</v>
      </c>
      <c r="G30" s="301"/>
      <c r="H30" s="300"/>
      <c r="J30" s="24" t="s">
        <v>6</v>
      </c>
      <c r="K30" s="58">
        <v>78.2</v>
      </c>
      <c r="L30" s="215">
        <v>27.37</v>
      </c>
      <c r="M30" s="216">
        <v>0</v>
      </c>
      <c r="N30" s="301"/>
      <c r="O30" s="300"/>
      <c r="P30" s="204"/>
    </row>
    <row r="31" spans="1:16" ht="13.5" thickBot="1"/>
    <row r="32" spans="1:16" s="42" customFormat="1">
      <c r="A32" s="86" t="s">
        <v>1</v>
      </c>
    </row>
    <row r="33" spans="1:12" ht="5.25" customHeight="1" thickBot="1"/>
    <row r="34" spans="1:12" ht="13.5" thickBot="1">
      <c r="C34" s="24" t="s">
        <v>11</v>
      </c>
      <c r="D34" s="46">
        <f>-PMT(D39,D38,D36)+D37</f>
        <v>500</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7500</v>
      </c>
      <c r="E36" s="18" t="str">
        <f>"$ per '"&amp;E3&amp;"' of practice"</f>
        <v>$ per 'acre' of practice</v>
      </c>
      <c r="I36" s="78" t="s">
        <v>162</v>
      </c>
      <c r="J36" s="236"/>
      <c r="K36" s="235">
        <v>7500</v>
      </c>
      <c r="L36" s="237"/>
    </row>
    <row r="37" spans="1:12">
      <c r="C37" s="24" t="s">
        <v>12</v>
      </c>
      <c r="D37" s="39">
        <f>K37</f>
        <v>0</v>
      </c>
      <c r="E37" s="18" t="str">
        <f>"$ per '"&amp;E3&amp;"' of practice per year"</f>
        <v>$ per 'acre' of practice per year</v>
      </c>
      <c r="I37" s="78" t="s">
        <v>161</v>
      </c>
      <c r="J37" s="236"/>
      <c r="K37" s="235">
        <v>0</v>
      </c>
      <c r="L37" s="237"/>
    </row>
    <row r="38" spans="1:12">
      <c r="C38" s="24" t="s">
        <v>13</v>
      </c>
      <c r="D38" s="40">
        <f>K38</f>
        <v>15</v>
      </c>
      <c r="E38" s="18" t="s">
        <v>15</v>
      </c>
      <c r="I38" s="78" t="s">
        <v>163</v>
      </c>
      <c r="J38" s="245"/>
      <c r="K38" s="244">
        <v>15</v>
      </c>
      <c r="L38" s="246"/>
    </row>
    <row r="39" spans="1:12" ht="13.5" thickBot="1">
      <c r="C39" s="24" t="s">
        <v>14</v>
      </c>
      <c r="D39" s="41">
        <f>Summary!C35</f>
        <v>0</v>
      </c>
      <c r="E39" s="18" t="s">
        <v>16</v>
      </c>
      <c r="I39" s="80" t="s">
        <v>166</v>
      </c>
      <c r="J39" s="239"/>
      <c r="K39" s="238">
        <f>(K36/K38)+K37</f>
        <v>500</v>
      </c>
      <c r="L39" s="240"/>
    </row>
    <row r="40" spans="1:12">
      <c r="F40" s="234"/>
    </row>
    <row r="41" spans="1:12">
      <c r="I41" s="304" t="s">
        <v>227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heet42"/>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Alternative Crops</v>
      </c>
      <c r="I1" s="22"/>
      <c r="J1" s="37" t="s">
        <v>135</v>
      </c>
      <c r="K1" s="50">
        <v>5</v>
      </c>
      <c r="L1" s="22"/>
      <c r="M1" s="22"/>
      <c r="N1" s="22"/>
      <c r="O1" s="22"/>
      <c r="P1" s="22"/>
      <c r="Q1" s="22"/>
      <c r="R1" s="22"/>
    </row>
    <row r="2" spans="1:19" s="20" customFormat="1" ht="12.75" customHeight="1">
      <c r="D2" s="48" t="s">
        <v>3</v>
      </c>
      <c r="E2" s="19" t="str">
        <f>VLOOKUP($K$1,'BMP info'!A:G,4,FALSE)</f>
        <v>CarSeqAltCrop</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landuse change</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596.68508287292809</v>
      </c>
      <c r="E13" s="29">
        <f t="shared" si="0"/>
        <v>32.04419889502762</v>
      </c>
      <c r="F13" s="51">
        <f t="shared" si="0"/>
        <v>16353.591160220993</v>
      </c>
      <c r="G13" s="305" t="s">
        <v>254</v>
      </c>
      <c r="H13" s="300"/>
      <c r="J13" s="24" t="s">
        <v>9</v>
      </c>
      <c r="K13" s="28">
        <f t="shared" ref="K13:M16" si="1">IF(K27*$D$34=0,"-",1000*K27/$D$34)</f>
        <v>596.68508287292809</v>
      </c>
      <c r="L13" s="29">
        <f t="shared" si="1"/>
        <v>32.04419889502762</v>
      </c>
      <c r="M13" s="51">
        <f t="shared" si="1"/>
        <v>16353.591160220993</v>
      </c>
      <c r="N13" s="305" t="s">
        <v>133</v>
      </c>
      <c r="O13" s="300"/>
    </row>
    <row r="14" spans="1:19">
      <c r="C14" s="24" t="s">
        <v>7</v>
      </c>
      <c r="D14" s="31">
        <f t="shared" si="0"/>
        <v>653.03867403314916</v>
      </c>
      <c r="E14" s="32">
        <f t="shared" si="0"/>
        <v>29.281767955801104</v>
      </c>
      <c r="F14" s="52">
        <f t="shared" si="0"/>
        <v>14419.889502762429</v>
      </c>
      <c r="G14" s="301"/>
      <c r="H14" s="300"/>
      <c r="J14" s="24" t="s">
        <v>7</v>
      </c>
      <c r="K14" s="31">
        <f t="shared" si="1"/>
        <v>577.90055248618785</v>
      </c>
      <c r="L14" s="32">
        <f t="shared" si="1"/>
        <v>27.071823204419886</v>
      </c>
      <c r="M14" s="52">
        <f t="shared" si="1"/>
        <v>13093.922651933701</v>
      </c>
      <c r="N14" s="301"/>
      <c r="O14" s="300"/>
    </row>
    <row r="15" spans="1:19">
      <c r="C15" s="24" t="s">
        <v>8</v>
      </c>
      <c r="D15" s="31">
        <f t="shared" si="0"/>
        <v>565.19337016574582</v>
      </c>
      <c r="E15" s="32">
        <f t="shared" si="0"/>
        <v>25.414364640883974</v>
      </c>
      <c r="F15" s="52">
        <f t="shared" si="0"/>
        <v>10331.491712707182</v>
      </c>
      <c r="G15" s="301"/>
      <c r="H15" s="300"/>
      <c r="J15" s="24" t="s">
        <v>8</v>
      </c>
      <c r="K15" s="31">
        <f t="shared" si="1"/>
        <v>565.19337016574582</v>
      </c>
      <c r="L15" s="32">
        <f t="shared" si="1"/>
        <v>25.414364640883974</v>
      </c>
      <c r="M15" s="52">
        <f t="shared" si="1"/>
        <v>10552.486187845303</v>
      </c>
      <c r="N15" s="301"/>
      <c r="O15" s="300"/>
    </row>
    <row r="16" spans="1:19" ht="13.5" thickBot="1">
      <c r="C16" s="24" t="s">
        <v>6</v>
      </c>
      <c r="D16" s="34">
        <f t="shared" si="0"/>
        <v>565.19337016574582</v>
      </c>
      <c r="E16" s="35">
        <f t="shared" si="0"/>
        <v>25.414364640883974</v>
      </c>
      <c r="F16" s="53">
        <f t="shared" si="0"/>
        <v>4143.6464088397788</v>
      </c>
      <c r="G16" s="301"/>
      <c r="H16" s="300"/>
      <c r="J16" s="24" t="s">
        <v>6</v>
      </c>
      <c r="K16" s="34">
        <f t="shared" si="1"/>
        <v>444.75138121546962</v>
      </c>
      <c r="L16" s="35">
        <f t="shared" si="1"/>
        <v>25.414364640883974</v>
      </c>
      <c r="M16" s="53">
        <f t="shared" si="1"/>
        <v>4917.1270718232045</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1.675925925925926</v>
      </c>
      <c r="E20" s="29">
        <f t="shared" si="2"/>
        <v>31.206896551724142</v>
      </c>
      <c r="F20" s="51">
        <f t="shared" si="2"/>
        <v>6.1148648648648656E-2</v>
      </c>
      <c r="G20" s="305" t="s">
        <v>253</v>
      </c>
      <c r="H20" s="300"/>
      <c r="J20" s="24" t="s">
        <v>9</v>
      </c>
      <c r="K20" s="28">
        <f t="shared" ref="K20:M23" si="3">IF(K27=0,"-",$D$34/K27)</f>
        <v>1.675925925925926</v>
      </c>
      <c r="L20" s="29">
        <f t="shared" si="3"/>
        <v>31.206896551724142</v>
      </c>
      <c r="M20" s="51">
        <f t="shared" si="3"/>
        <v>6.1148648648648656E-2</v>
      </c>
      <c r="N20" s="305" t="s">
        <v>132</v>
      </c>
      <c r="O20" s="300"/>
    </row>
    <row r="21" spans="1:16">
      <c r="C21" s="24" t="s">
        <v>7</v>
      </c>
      <c r="D21" s="31">
        <f t="shared" si="2"/>
        <v>1.5313028764805416</v>
      </c>
      <c r="E21" s="32">
        <f t="shared" si="2"/>
        <v>34.150943396226417</v>
      </c>
      <c r="F21" s="52">
        <f t="shared" si="2"/>
        <v>6.9348659003831428E-2</v>
      </c>
      <c r="G21" s="301"/>
      <c r="H21" s="300"/>
      <c r="J21" s="24" t="s">
        <v>7</v>
      </c>
      <c r="K21" s="31">
        <f t="shared" si="3"/>
        <v>1.7304015296367112</v>
      </c>
      <c r="L21" s="32">
        <f t="shared" si="3"/>
        <v>36.938775510204088</v>
      </c>
      <c r="M21" s="52">
        <f t="shared" si="3"/>
        <v>7.6371308016877637E-2</v>
      </c>
      <c r="N21" s="301"/>
      <c r="O21" s="300"/>
    </row>
    <row r="22" spans="1:16">
      <c r="C22" s="24" t="s">
        <v>8</v>
      </c>
      <c r="D22" s="31">
        <f t="shared" si="2"/>
        <v>1.7693059628543499</v>
      </c>
      <c r="E22" s="32">
        <f t="shared" si="2"/>
        <v>39.347826086956523</v>
      </c>
      <c r="F22" s="52">
        <f t="shared" si="2"/>
        <v>9.6791443850267389E-2</v>
      </c>
      <c r="G22" s="301"/>
      <c r="H22" s="300"/>
      <c r="J22" s="24" t="s">
        <v>8</v>
      </c>
      <c r="K22" s="31">
        <f t="shared" si="3"/>
        <v>1.7693059628543499</v>
      </c>
      <c r="L22" s="32">
        <f t="shared" si="3"/>
        <v>39.347826086956523</v>
      </c>
      <c r="M22" s="52">
        <f t="shared" si="3"/>
        <v>9.4764397905759176E-2</v>
      </c>
      <c r="N22" s="301"/>
      <c r="O22" s="300"/>
    </row>
    <row r="23" spans="1:16" ht="13.5" thickBot="1">
      <c r="C23" s="24" t="s">
        <v>6</v>
      </c>
      <c r="D23" s="34">
        <f t="shared" si="2"/>
        <v>1.7693059628543499</v>
      </c>
      <c r="E23" s="35">
        <f t="shared" si="2"/>
        <v>39.347826086956523</v>
      </c>
      <c r="F23" s="53">
        <f t="shared" si="2"/>
        <v>0.24133333333333334</v>
      </c>
      <c r="G23" s="301"/>
      <c r="H23" s="300"/>
      <c r="J23" s="24" t="s">
        <v>6</v>
      </c>
      <c r="K23" s="34">
        <f t="shared" si="3"/>
        <v>2.2484472049689441</v>
      </c>
      <c r="L23" s="35">
        <f t="shared" si="3"/>
        <v>39.347826086956523</v>
      </c>
      <c r="M23" s="53">
        <f t="shared" si="3"/>
        <v>0.20337078651685395</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10.8</v>
      </c>
      <c r="E27" s="209">
        <v>0.57999999999999996</v>
      </c>
      <c r="F27" s="210">
        <v>296</v>
      </c>
      <c r="G27" s="305" t="str">
        <f>"EOS pounds removed per '"&amp;E3&amp;"' of practice per year"</f>
        <v>EOS pounds removed per 'acre' of practice per year</v>
      </c>
      <c r="H27" s="300"/>
      <c r="J27" s="24" t="s">
        <v>9</v>
      </c>
      <c r="K27" s="56">
        <v>10.8</v>
      </c>
      <c r="L27" s="209">
        <v>0.57999999999999996</v>
      </c>
      <c r="M27" s="210">
        <v>296</v>
      </c>
      <c r="N27" s="299" t="str">
        <f>"delivered pounds removed per '"&amp;E3&amp;"' of practice per year"</f>
        <v>delivered pounds removed per 'acre' of practice per year</v>
      </c>
      <c r="O27" s="300"/>
      <c r="P27" s="204"/>
    </row>
    <row r="28" spans="1:16">
      <c r="C28" s="24" t="s">
        <v>7</v>
      </c>
      <c r="D28" s="211">
        <v>11.82</v>
      </c>
      <c r="E28" s="212">
        <v>0.53</v>
      </c>
      <c r="F28" s="213">
        <v>261</v>
      </c>
      <c r="G28" s="301"/>
      <c r="H28" s="300"/>
      <c r="J28" s="24" t="s">
        <v>7</v>
      </c>
      <c r="K28" s="57">
        <v>10.46</v>
      </c>
      <c r="L28" s="212">
        <v>0.49</v>
      </c>
      <c r="M28" s="213">
        <v>237</v>
      </c>
      <c r="N28" s="301"/>
      <c r="O28" s="300"/>
      <c r="P28" s="204"/>
    </row>
    <row r="29" spans="1:16">
      <c r="C29" s="24" t="s">
        <v>8</v>
      </c>
      <c r="D29" s="211">
        <v>10.23</v>
      </c>
      <c r="E29" s="212">
        <v>0.46</v>
      </c>
      <c r="F29" s="213">
        <v>187</v>
      </c>
      <c r="G29" s="301"/>
      <c r="H29" s="300"/>
      <c r="J29" s="24" t="s">
        <v>8</v>
      </c>
      <c r="K29" s="57">
        <v>10.23</v>
      </c>
      <c r="L29" s="212">
        <v>0.46</v>
      </c>
      <c r="M29" s="213">
        <v>191</v>
      </c>
      <c r="N29" s="301"/>
      <c r="O29" s="300"/>
      <c r="P29" s="204"/>
    </row>
    <row r="30" spans="1:16" ht="13.5" thickBot="1">
      <c r="C30" s="24" t="s">
        <v>6</v>
      </c>
      <c r="D30" s="214">
        <v>10.23</v>
      </c>
      <c r="E30" s="215">
        <v>0.46</v>
      </c>
      <c r="F30" s="216">
        <v>75</v>
      </c>
      <c r="G30" s="301"/>
      <c r="H30" s="300"/>
      <c r="J30" s="24" t="s">
        <v>6</v>
      </c>
      <c r="K30" s="58">
        <v>8.0500000000000007</v>
      </c>
      <c r="L30" s="215">
        <v>0.46</v>
      </c>
      <c r="M30" s="216">
        <v>89</v>
      </c>
      <c r="N30" s="301"/>
      <c r="O30" s="300"/>
      <c r="P30" s="204"/>
    </row>
    <row r="31" spans="1:16" ht="13.5" thickBot="1"/>
    <row r="32" spans="1:16" s="42" customFormat="1">
      <c r="A32" s="86" t="s">
        <v>1</v>
      </c>
    </row>
    <row r="33" spans="1:12" ht="5.25" customHeight="1" thickBot="1"/>
    <row r="34" spans="1:12" ht="13.5" thickBot="1">
      <c r="C34" s="24" t="s">
        <v>11</v>
      </c>
      <c r="D34" s="46">
        <f>-PMT(D39,D38,D36)+D37</f>
        <v>18.100000000000001</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181</v>
      </c>
      <c r="E36" s="18" t="str">
        <f>"$ per '"&amp;E3&amp;"' of practice"</f>
        <v>$ per 'acre' of practice</v>
      </c>
      <c r="I36" s="78" t="s">
        <v>162</v>
      </c>
      <c r="J36" s="236">
        <v>141</v>
      </c>
      <c r="K36" s="235">
        <v>181</v>
      </c>
      <c r="L36" s="237">
        <f>AVERAGE(J36:K36)</f>
        <v>161</v>
      </c>
    </row>
    <row r="37" spans="1:12">
      <c r="C37" s="24" t="s">
        <v>12</v>
      </c>
      <c r="D37" s="39">
        <f>K37</f>
        <v>0</v>
      </c>
      <c r="E37" s="18" t="str">
        <f>"$ per '"&amp;E3&amp;"' of practice per year"</f>
        <v>$ per 'acre' of practice per year</v>
      </c>
      <c r="I37" s="78" t="s">
        <v>161</v>
      </c>
      <c r="J37" s="236">
        <v>0</v>
      </c>
      <c r="K37" s="235">
        <v>0</v>
      </c>
      <c r="L37" s="237">
        <f>(J37+(K37/K38))/2</f>
        <v>0</v>
      </c>
    </row>
    <row r="38" spans="1:12">
      <c r="C38" s="24" t="s">
        <v>13</v>
      </c>
      <c r="D38" s="40">
        <f>L38</f>
        <v>10</v>
      </c>
      <c r="E38" s="18" t="s">
        <v>15</v>
      </c>
      <c r="I38" s="78" t="s">
        <v>163</v>
      </c>
      <c r="J38" s="245">
        <v>7</v>
      </c>
      <c r="K38" s="244">
        <v>10</v>
      </c>
      <c r="L38" s="246">
        <v>10</v>
      </c>
    </row>
    <row r="39" spans="1:12" ht="13.5" thickBot="1">
      <c r="C39" s="24" t="s">
        <v>14</v>
      </c>
      <c r="D39" s="41">
        <f>Summary!C35</f>
        <v>0</v>
      </c>
      <c r="E39" s="18" t="s">
        <v>16</v>
      </c>
      <c r="I39" s="80" t="s">
        <v>166</v>
      </c>
      <c r="J39" s="239">
        <f>J36/J38</f>
        <v>20.142857142857142</v>
      </c>
      <c r="K39" s="238">
        <f>K36/K38</f>
        <v>18.100000000000001</v>
      </c>
      <c r="L39" s="240">
        <f>L37+L36/L38</f>
        <v>16.100000000000001</v>
      </c>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44"/>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1" style="17" bestFit="1" customWidth="1"/>
    <col min="13" max="16384" width="9.140625" style="17"/>
  </cols>
  <sheetData>
    <row r="1" spans="1:19" s="20" customFormat="1" ht="21" customHeight="1">
      <c r="A1" s="302" t="s">
        <v>136</v>
      </c>
      <c r="B1" s="303"/>
      <c r="D1" s="25" t="s">
        <v>134</v>
      </c>
      <c r="E1" s="89" t="str">
        <f>VLOOKUP($K$1,'BMP info'!A:G,3,FALSE)</f>
        <v>Heavy Use Poultry Area Concrete Pads</v>
      </c>
      <c r="I1" s="22"/>
      <c r="J1" s="37" t="s">
        <v>135</v>
      </c>
      <c r="K1" s="50">
        <v>6</v>
      </c>
      <c r="L1" s="22"/>
      <c r="M1" s="22"/>
      <c r="N1" s="22"/>
      <c r="O1" s="22"/>
      <c r="P1" s="22"/>
      <c r="Q1" s="22"/>
      <c r="R1" s="22"/>
    </row>
    <row r="2" spans="1:19" s="20" customFormat="1" ht="12.75" customHeight="1">
      <c r="D2" s="48" t="s">
        <v>3</v>
      </c>
      <c r="E2" s="19" t="str">
        <f>VLOOKUP($K$1,'BMP info'!A:G,4,FALSE)</f>
        <v>ConcretePads</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efficiency applied</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1872.3428571428572</v>
      </c>
      <c r="E13" s="29">
        <f t="shared" si="0"/>
        <v>264.25714285714287</v>
      </c>
      <c r="F13" s="51">
        <f t="shared" si="0"/>
        <v>274.28571428571428</v>
      </c>
      <c r="G13" s="305" t="s">
        <v>254</v>
      </c>
      <c r="H13" s="300"/>
      <c r="J13" s="24" t="s">
        <v>9</v>
      </c>
      <c r="K13" s="28">
        <f t="shared" ref="K13:M16" si="1">IF(K27*$D$34=0,"-",1000*K27/$D$34)</f>
        <v>1480.8857142857141</v>
      </c>
      <c r="L13" s="29">
        <f t="shared" si="1"/>
        <v>209.02857142857144</v>
      </c>
      <c r="M13" s="51">
        <f t="shared" si="1"/>
        <v>297.14285714285717</v>
      </c>
      <c r="N13" s="305" t="s">
        <v>133</v>
      </c>
      <c r="O13" s="300"/>
    </row>
    <row r="14" spans="1:19">
      <c r="C14" s="24" t="s">
        <v>7</v>
      </c>
      <c r="D14" s="31">
        <f t="shared" si="0"/>
        <v>1041.5999999999999</v>
      </c>
      <c r="E14" s="32">
        <f t="shared" si="0"/>
        <v>147.51428571428571</v>
      </c>
      <c r="F14" s="52">
        <f t="shared" si="0"/>
        <v>148.57142857142858</v>
      </c>
      <c r="G14" s="301"/>
      <c r="H14" s="300"/>
      <c r="J14" s="24" t="s">
        <v>7</v>
      </c>
      <c r="K14" s="31">
        <f t="shared" si="1"/>
        <v>936.37142857142862</v>
      </c>
      <c r="L14" s="32">
        <f t="shared" si="1"/>
        <v>136.28571428571428</v>
      </c>
      <c r="M14" s="52">
        <f t="shared" si="1"/>
        <v>154.28571428571428</v>
      </c>
      <c r="N14" s="301"/>
      <c r="O14" s="300"/>
    </row>
    <row r="15" spans="1:19">
      <c r="C15" s="24" t="s">
        <v>8</v>
      </c>
      <c r="D15" s="31">
        <f t="shared" si="0"/>
        <v>1091.7142857142858</v>
      </c>
      <c r="E15" s="32">
        <f t="shared" si="0"/>
        <v>154.4</v>
      </c>
      <c r="F15" s="52">
        <f t="shared" si="0"/>
        <v>62.857142857142854</v>
      </c>
      <c r="G15" s="301"/>
      <c r="H15" s="300"/>
      <c r="J15" s="24" t="s">
        <v>8</v>
      </c>
      <c r="K15" s="31">
        <f t="shared" si="1"/>
        <v>754.7714285714286</v>
      </c>
      <c r="L15" s="32">
        <f t="shared" si="1"/>
        <v>107.14285714285714</v>
      </c>
      <c r="M15" s="52">
        <f t="shared" si="1"/>
        <v>85.714285714285708</v>
      </c>
      <c r="N15" s="301"/>
      <c r="O15" s="300"/>
    </row>
    <row r="16" spans="1:19" ht="13.5" thickBot="1">
      <c r="C16" s="24" t="s">
        <v>6</v>
      </c>
      <c r="D16" s="34">
        <f t="shared" si="0"/>
        <v>571.88571428571424</v>
      </c>
      <c r="E16" s="35">
        <f t="shared" si="0"/>
        <v>81.657142857142858</v>
      </c>
      <c r="F16" s="53">
        <f t="shared" si="0"/>
        <v>34.285714285714285</v>
      </c>
      <c r="G16" s="301"/>
      <c r="H16" s="300"/>
      <c r="J16" s="24" t="s">
        <v>6</v>
      </c>
      <c r="K16" s="34">
        <f t="shared" si="1"/>
        <v>456.91428571428571</v>
      </c>
      <c r="L16" s="35">
        <f t="shared" si="1"/>
        <v>81.285714285714292</v>
      </c>
      <c r="M16" s="53">
        <f t="shared" si="1"/>
        <v>34.285714285714285</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0.53409021546725255</v>
      </c>
      <c r="E20" s="29">
        <f t="shared" si="2"/>
        <v>3.784192885717375</v>
      </c>
      <c r="F20" s="51">
        <f t="shared" si="2"/>
        <v>3.6458333333333335</v>
      </c>
      <c r="G20" s="305" t="s">
        <v>253</v>
      </c>
      <c r="H20" s="300"/>
      <c r="J20" s="24" t="s">
        <v>9</v>
      </c>
      <c r="K20" s="28">
        <f t="shared" ref="K20:M23" si="3">IF(K27=0,"-",$D$34/K27)</f>
        <v>0.67527155563272956</v>
      </c>
      <c r="L20" s="29">
        <f t="shared" si="3"/>
        <v>4.784034991798797</v>
      </c>
      <c r="M20" s="51">
        <f t="shared" si="3"/>
        <v>3.3653846153846154</v>
      </c>
      <c r="N20" s="305" t="s">
        <v>132</v>
      </c>
      <c r="O20" s="300"/>
    </row>
    <row r="21" spans="1:16">
      <c r="C21" s="24" t="s">
        <v>7</v>
      </c>
      <c r="D21" s="31">
        <f t="shared" si="2"/>
        <v>0.96006144393241166</v>
      </c>
      <c r="E21" s="32">
        <f t="shared" si="2"/>
        <v>6.7790044547743555</v>
      </c>
      <c r="F21" s="52">
        <f t="shared" si="2"/>
        <v>6.7307692307692308</v>
      </c>
      <c r="G21" s="301"/>
      <c r="H21" s="300"/>
      <c r="J21" s="24" t="s">
        <v>7</v>
      </c>
      <c r="K21" s="31">
        <f t="shared" si="3"/>
        <v>1.0679522777896437</v>
      </c>
      <c r="L21" s="32">
        <f t="shared" si="3"/>
        <v>7.3375262054507333</v>
      </c>
      <c r="M21" s="52">
        <f t="shared" si="3"/>
        <v>6.4814814814814818</v>
      </c>
      <c r="N21" s="301"/>
      <c r="O21" s="300"/>
    </row>
    <row r="22" spans="1:16">
      <c r="C22" s="24" t="s">
        <v>8</v>
      </c>
      <c r="D22" s="31">
        <f t="shared" si="2"/>
        <v>0.91599057838262232</v>
      </c>
      <c r="E22" s="32">
        <f t="shared" si="2"/>
        <v>6.4766839378238341</v>
      </c>
      <c r="F22" s="52">
        <f t="shared" si="2"/>
        <v>15.909090909090908</v>
      </c>
      <c r="G22" s="301"/>
      <c r="H22" s="300"/>
      <c r="J22" s="24" t="s">
        <v>8</v>
      </c>
      <c r="K22" s="31">
        <f t="shared" si="3"/>
        <v>1.3249044176098723</v>
      </c>
      <c r="L22" s="32">
        <f t="shared" si="3"/>
        <v>9.3333333333333339</v>
      </c>
      <c r="M22" s="52">
        <f t="shared" si="3"/>
        <v>11.666666666666666</v>
      </c>
      <c r="N22" s="301"/>
      <c r="O22" s="300"/>
    </row>
    <row r="23" spans="1:16" ht="13.5" thickBot="1">
      <c r="C23" s="24" t="s">
        <v>6</v>
      </c>
      <c r="D23" s="34">
        <f t="shared" si="2"/>
        <v>1.7486011191047162</v>
      </c>
      <c r="E23" s="35">
        <f t="shared" si="2"/>
        <v>12.24632610216935</v>
      </c>
      <c r="F23" s="53">
        <f t="shared" si="2"/>
        <v>29.166666666666668</v>
      </c>
      <c r="G23" s="301"/>
      <c r="H23" s="300"/>
      <c r="J23" s="24" t="s">
        <v>6</v>
      </c>
      <c r="K23" s="34">
        <f t="shared" si="3"/>
        <v>2.1885942971485743</v>
      </c>
      <c r="L23" s="35">
        <f t="shared" si="3"/>
        <v>12.302284710017576</v>
      </c>
      <c r="M23" s="53">
        <f t="shared" si="3"/>
        <v>29.166666666666668</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655.32000000000005</v>
      </c>
      <c r="E27" s="209">
        <v>92.49</v>
      </c>
      <c r="F27" s="210">
        <v>96</v>
      </c>
      <c r="G27" s="305" t="str">
        <f>"EOS pounds removed per '"&amp;E3&amp;"' of practice per year"</f>
        <v>EOS pounds removed per 'acre' of practice per year</v>
      </c>
      <c r="H27" s="300"/>
      <c r="J27" s="24" t="s">
        <v>9</v>
      </c>
      <c r="K27" s="56">
        <v>518.30999999999995</v>
      </c>
      <c r="L27" s="209">
        <v>73.16</v>
      </c>
      <c r="M27" s="210">
        <v>104</v>
      </c>
      <c r="N27" s="299" t="str">
        <f>"delivered pounds removed per '"&amp;E3&amp;"' of practice per year"</f>
        <v>delivered pounds removed per 'acre' of practice per year</v>
      </c>
      <c r="O27" s="300"/>
      <c r="P27" s="204"/>
    </row>
    <row r="28" spans="1:16">
      <c r="C28" s="24" t="s">
        <v>7</v>
      </c>
      <c r="D28" s="211">
        <v>364.56</v>
      </c>
      <c r="E28" s="212">
        <v>51.63</v>
      </c>
      <c r="F28" s="213">
        <v>52</v>
      </c>
      <c r="G28" s="301"/>
      <c r="H28" s="300"/>
      <c r="J28" s="24" t="s">
        <v>7</v>
      </c>
      <c r="K28" s="57">
        <v>327.73</v>
      </c>
      <c r="L28" s="212">
        <v>47.7</v>
      </c>
      <c r="M28" s="213">
        <v>54</v>
      </c>
      <c r="N28" s="301"/>
      <c r="O28" s="300"/>
      <c r="P28" s="204"/>
    </row>
    <row r="29" spans="1:16">
      <c r="C29" s="24" t="s">
        <v>8</v>
      </c>
      <c r="D29" s="211">
        <v>382.1</v>
      </c>
      <c r="E29" s="212">
        <v>54.04</v>
      </c>
      <c r="F29" s="213">
        <v>22</v>
      </c>
      <c r="G29" s="301"/>
      <c r="H29" s="300"/>
      <c r="J29" s="24" t="s">
        <v>8</v>
      </c>
      <c r="K29" s="57">
        <v>264.17</v>
      </c>
      <c r="L29" s="212">
        <v>37.5</v>
      </c>
      <c r="M29" s="213">
        <v>30</v>
      </c>
      <c r="N29" s="301"/>
      <c r="O29" s="300"/>
      <c r="P29" s="204"/>
    </row>
    <row r="30" spans="1:16" ht="13.5" thickBot="1">
      <c r="C30" s="24" t="s">
        <v>6</v>
      </c>
      <c r="D30" s="214">
        <v>200.16</v>
      </c>
      <c r="E30" s="215">
        <v>28.58</v>
      </c>
      <c r="F30" s="216">
        <v>12</v>
      </c>
      <c r="G30" s="301"/>
      <c r="H30" s="300"/>
      <c r="J30" s="24" t="s">
        <v>6</v>
      </c>
      <c r="K30" s="58">
        <v>159.91999999999999</v>
      </c>
      <c r="L30" s="215">
        <v>28.45</v>
      </c>
      <c r="M30" s="216">
        <v>12</v>
      </c>
      <c r="N30" s="301"/>
      <c r="O30" s="300"/>
      <c r="P30" s="204"/>
    </row>
    <row r="31" spans="1:16" ht="13.5" thickBot="1"/>
    <row r="32" spans="1:16" s="42" customFormat="1">
      <c r="A32" s="86" t="s">
        <v>1</v>
      </c>
    </row>
    <row r="33" spans="1:12" ht="5.25" customHeight="1" thickBot="1"/>
    <row r="34" spans="1:12" ht="13.5" thickBot="1">
      <c r="C34" s="24" t="s">
        <v>11</v>
      </c>
      <c r="D34" s="46">
        <f>-PMT(D39,D38,D36)+D37</f>
        <v>350</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3500</v>
      </c>
      <c r="E36" s="18" t="str">
        <f>"$ per '"&amp;E3&amp;"' of practice"</f>
        <v>$ per 'acre' of practice</v>
      </c>
      <c r="I36" s="78" t="s">
        <v>162</v>
      </c>
      <c r="J36" s="236"/>
      <c r="K36" s="235">
        <v>3500</v>
      </c>
      <c r="L36" s="237"/>
    </row>
    <row r="37" spans="1:12">
      <c r="C37" s="24" t="s">
        <v>12</v>
      </c>
      <c r="D37" s="39">
        <f>L37</f>
        <v>0</v>
      </c>
      <c r="E37" s="18" t="str">
        <f>"$ per '"&amp;E3&amp;"' of practice per year"</f>
        <v>$ per 'acre' of practice per year</v>
      </c>
      <c r="I37" s="78" t="s">
        <v>161</v>
      </c>
      <c r="J37" s="236"/>
      <c r="K37" s="235">
        <v>0</v>
      </c>
      <c r="L37" s="237"/>
    </row>
    <row r="38" spans="1:12">
      <c r="C38" s="24" t="s">
        <v>13</v>
      </c>
      <c r="D38" s="249">
        <f>K38</f>
        <v>10</v>
      </c>
      <c r="E38" s="18" t="s">
        <v>15</v>
      </c>
      <c r="I38" s="78" t="s">
        <v>163</v>
      </c>
      <c r="J38" s="245"/>
      <c r="K38" s="244">
        <v>10</v>
      </c>
      <c r="L38" s="246"/>
    </row>
    <row r="39" spans="1:12" ht="13.5" thickBot="1">
      <c r="C39" s="24" t="s">
        <v>14</v>
      </c>
      <c r="D39" s="41">
        <f>Summary!C35</f>
        <v>0</v>
      </c>
      <c r="E39" s="18" t="s">
        <v>16</v>
      </c>
      <c r="I39" s="80" t="s">
        <v>166</v>
      </c>
      <c r="J39" s="239"/>
      <c r="K39" s="238">
        <v>1500</v>
      </c>
      <c r="L39" s="240"/>
    </row>
    <row r="40" spans="1:12">
      <c r="F40" s="234"/>
    </row>
    <row r="41" spans="1:12">
      <c r="I41" s="304" t="s">
        <v>275</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45"/>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Soil Conservation and Water Quality Plans</v>
      </c>
      <c r="I1" s="22"/>
      <c r="J1" s="37" t="s">
        <v>135</v>
      </c>
      <c r="K1" s="50">
        <v>7</v>
      </c>
      <c r="L1" s="22"/>
      <c r="M1" s="22"/>
      <c r="N1" s="22"/>
      <c r="O1" s="22"/>
      <c r="P1" s="22"/>
      <c r="Q1" s="22"/>
      <c r="R1" s="22"/>
    </row>
    <row r="2" spans="1:19" s="20" customFormat="1" ht="12.75" customHeight="1">
      <c r="D2" s="48" t="s">
        <v>3</v>
      </c>
      <c r="E2" s="19" t="str">
        <f>VLOOKUP($K$1,'BMP info'!A:G,4,FALSE)</f>
        <v>ConPlan</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efficiency applied</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22.888888888888889</v>
      </c>
      <c r="E13" s="29">
        <f t="shared" si="0"/>
        <v>4.2222222222222223</v>
      </c>
      <c r="F13" s="51">
        <f t="shared" si="0"/>
        <v>2955.5555555555557</v>
      </c>
      <c r="G13" s="305" t="s">
        <v>254</v>
      </c>
      <c r="H13" s="300"/>
      <c r="J13" s="24" t="s">
        <v>9</v>
      </c>
      <c r="K13" s="28">
        <f t="shared" ref="K13:M16" si="1">IF(K27*$D$34=0,"-",1000*K27/$D$34)</f>
        <v>13.111111111111111</v>
      </c>
      <c r="L13" s="29">
        <f t="shared" si="1"/>
        <v>2.2222222222222223</v>
      </c>
      <c r="M13" s="51">
        <f t="shared" si="1"/>
        <v>1933.3333333333333</v>
      </c>
      <c r="N13" s="305" t="s">
        <v>133</v>
      </c>
      <c r="O13" s="300"/>
    </row>
    <row r="14" spans="1:19">
      <c r="C14" s="24" t="s">
        <v>7</v>
      </c>
      <c r="D14" s="31">
        <f t="shared" si="0"/>
        <v>12.888888888888889</v>
      </c>
      <c r="E14" s="32">
        <f t="shared" si="0"/>
        <v>2</v>
      </c>
      <c r="F14" s="52">
        <f t="shared" si="0"/>
        <v>1222.2222222222222</v>
      </c>
      <c r="G14" s="301"/>
      <c r="H14" s="300"/>
      <c r="J14" s="24" t="s">
        <v>7</v>
      </c>
      <c r="K14" s="31">
        <f t="shared" si="1"/>
        <v>7.7777777777777777</v>
      </c>
      <c r="L14" s="32">
        <f t="shared" si="1"/>
        <v>1.3333333333333333</v>
      </c>
      <c r="M14" s="52">
        <f t="shared" si="1"/>
        <v>911.11111111111109</v>
      </c>
      <c r="N14" s="301"/>
      <c r="O14" s="300"/>
    </row>
    <row r="15" spans="1:19">
      <c r="C15" s="24" t="s">
        <v>8</v>
      </c>
      <c r="D15" s="31">
        <f t="shared" si="0"/>
        <v>8.8888888888888893</v>
      </c>
      <c r="E15" s="32">
        <f t="shared" si="0"/>
        <v>1.5555555555555556</v>
      </c>
      <c r="F15" s="52">
        <f t="shared" si="0"/>
        <v>644.44444444444446</v>
      </c>
      <c r="G15" s="301"/>
      <c r="H15" s="300"/>
      <c r="J15" s="24" t="s">
        <v>8</v>
      </c>
      <c r="K15" s="31">
        <f t="shared" si="1"/>
        <v>7.5555555555555554</v>
      </c>
      <c r="L15" s="32">
        <f t="shared" si="1"/>
        <v>1.3333333333333333</v>
      </c>
      <c r="M15" s="52">
        <f t="shared" si="1"/>
        <v>533.33333333333337</v>
      </c>
      <c r="N15" s="301"/>
      <c r="O15" s="300"/>
    </row>
    <row r="16" spans="1:19" ht="13.5" thickBot="1">
      <c r="C16" s="24" t="s">
        <v>6</v>
      </c>
      <c r="D16" s="34">
        <f t="shared" si="0"/>
        <v>6.4444444444444446</v>
      </c>
      <c r="E16" s="35">
        <f t="shared" si="0"/>
        <v>0.66666666666666663</v>
      </c>
      <c r="F16" s="53">
        <f t="shared" si="0"/>
        <v>177.77777777777777</v>
      </c>
      <c r="G16" s="301"/>
      <c r="H16" s="300"/>
      <c r="J16" s="24" t="s">
        <v>6</v>
      </c>
      <c r="K16" s="34">
        <f t="shared" si="1"/>
        <v>3.1111111111111112</v>
      </c>
      <c r="L16" s="35">
        <f t="shared" si="1"/>
        <v>0.66666666666666663</v>
      </c>
      <c r="M16" s="53">
        <f t="shared" si="1"/>
        <v>155.55555555555554</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43.689320388349515</v>
      </c>
      <c r="E20" s="29">
        <f t="shared" si="2"/>
        <v>236.84210526315789</v>
      </c>
      <c r="F20" s="51">
        <f t="shared" si="2"/>
        <v>0.33834586466165412</v>
      </c>
      <c r="G20" s="305" t="s">
        <v>253</v>
      </c>
      <c r="H20" s="300"/>
      <c r="J20" s="24" t="s">
        <v>9</v>
      </c>
      <c r="K20" s="28">
        <f t="shared" ref="K20:M23" si="3">IF(K27=0,"-",$D$34/K27)</f>
        <v>76.271186440677965</v>
      </c>
      <c r="L20" s="29">
        <f t="shared" si="3"/>
        <v>450</v>
      </c>
      <c r="M20" s="51">
        <f t="shared" si="3"/>
        <v>0.51724137931034486</v>
      </c>
      <c r="N20" s="305" t="s">
        <v>132</v>
      </c>
      <c r="O20" s="300"/>
    </row>
    <row r="21" spans="1:16">
      <c r="C21" s="24" t="s">
        <v>7</v>
      </c>
      <c r="D21" s="31">
        <f t="shared" si="2"/>
        <v>77.58620689655173</v>
      </c>
      <c r="E21" s="32">
        <f t="shared" si="2"/>
        <v>500</v>
      </c>
      <c r="F21" s="52">
        <f t="shared" si="2"/>
        <v>0.81818181818181823</v>
      </c>
      <c r="G21" s="301"/>
      <c r="H21" s="300"/>
      <c r="J21" s="24" t="s">
        <v>7</v>
      </c>
      <c r="K21" s="31">
        <f t="shared" si="3"/>
        <v>128.57142857142858</v>
      </c>
      <c r="L21" s="32">
        <f t="shared" si="3"/>
        <v>750</v>
      </c>
      <c r="M21" s="52">
        <f t="shared" si="3"/>
        <v>1.0975609756097562</v>
      </c>
      <c r="N21" s="301"/>
      <c r="O21" s="300"/>
    </row>
    <row r="22" spans="1:16">
      <c r="C22" s="24" t="s">
        <v>8</v>
      </c>
      <c r="D22" s="31">
        <f t="shared" si="2"/>
        <v>112.5</v>
      </c>
      <c r="E22" s="32">
        <f t="shared" si="2"/>
        <v>642.85714285714278</v>
      </c>
      <c r="F22" s="52">
        <f t="shared" si="2"/>
        <v>1.5517241379310345</v>
      </c>
      <c r="G22" s="301"/>
      <c r="H22" s="300"/>
      <c r="J22" s="24" t="s">
        <v>8</v>
      </c>
      <c r="K22" s="31">
        <f t="shared" si="3"/>
        <v>132.35294117647058</v>
      </c>
      <c r="L22" s="32">
        <f t="shared" si="3"/>
        <v>750</v>
      </c>
      <c r="M22" s="52">
        <f t="shared" si="3"/>
        <v>1.875</v>
      </c>
      <c r="N22" s="301"/>
      <c r="O22" s="300"/>
    </row>
    <row r="23" spans="1:16" ht="13.5" thickBot="1">
      <c r="C23" s="24" t="s">
        <v>6</v>
      </c>
      <c r="D23" s="34">
        <f t="shared" si="2"/>
        <v>155.17241379310346</v>
      </c>
      <c r="E23" s="35">
        <f t="shared" si="2"/>
        <v>1500</v>
      </c>
      <c r="F23" s="53">
        <f t="shared" si="2"/>
        <v>5.625</v>
      </c>
      <c r="G23" s="301"/>
      <c r="H23" s="300"/>
      <c r="J23" s="24" t="s">
        <v>6</v>
      </c>
      <c r="K23" s="34">
        <f t="shared" si="3"/>
        <v>321.42857142857139</v>
      </c>
      <c r="L23" s="35">
        <f t="shared" si="3"/>
        <v>1500</v>
      </c>
      <c r="M23" s="53">
        <f t="shared" si="3"/>
        <v>6.4285714285714288</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1.03</v>
      </c>
      <c r="E27" s="209">
        <v>0.19</v>
      </c>
      <c r="F27" s="210">
        <v>133</v>
      </c>
      <c r="G27" s="305" t="str">
        <f>"EOS pounds removed per '"&amp;E3&amp;"' of practice per year"</f>
        <v>EOS pounds removed per 'acre' of practice per year</v>
      </c>
      <c r="H27" s="300"/>
      <c r="J27" s="24" t="s">
        <v>9</v>
      </c>
      <c r="K27" s="56">
        <v>0.59</v>
      </c>
      <c r="L27" s="209">
        <v>0.1</v>
      </c>
      <c r="M27" s="210">
        <v>87</v>
      </c>
      <c r="N27" s="299" t="str">
        <f>"delivered pounds removed per '"&amp;E3&amp;"' of practice per year"</f>
        <v>delivered pounds removed per 'acre' of practice per year</v>
      </c>
      <c r="O27" s="300"/>
      <c r="P27" s="204"/>
    </row>
    <row r="28" spans="1:16">
      <c r="C28" s="24" t="s">
        <v>7</v>
      </c>
      <c r="D28" s="211">
        <v>0.57999999999999996</v>
      </c>
      <c r="E28" s="212">
        <v>0.09</v>
      </c>
      <c r="F28" s="213">
        <v>55</v>
      </c>
      <c r="G28" s="301"/>
      <c r="H28" s="300"/>
      <c r="J28" s="24" t="s">
        <v>7</v>
      </c>
      <c r="K28" s="57">
        <v>0.35</v>
      </c>
      <c r="L28" s="212">
        <v>0.06</v>
      </c>
      <c r="M28" s="213">
        <v>41</v>
      </c>
      <c r="N28" s="301"/>
      <c r="O28" s="300"/>
      <c r="P28" s="204"/>
    </row>
    <row r="29" spans="1:16">
      <c r="C29" s="24" t="s">
        <v>8</v>
      </c>
      <c r="D29" s="211">
        <v>0.4</v>
      </c>
      <c r="E29" s="212">
        <v>7.0000000000000007E-2</v>
      </c>
      <c r="F29" s="213">
        <v>29</v>
      </c>
      <c r="G29" s="301"/>
      <c r="H29" s="300"/>
      <c r="J29" s="24" t="s">
        <v>8</v>
      </c>
      <c r="K29" s="57">
        <v>0.34</v>
      </c>
      <c r="L29" s="212">
        <v>0.06</v>
      </c>
      <c r="M29" s="213">
        <v>24</v>
      </c>
      <c r="N29" s="301"/>
      <c r="O29" s="300"/>
      <c r="P29" s="204"/>
    </row>
    <row r="30" spans="1:16" ht="13.5" thickBot="1">
      <c r="C30" s="24" t="s">
        <v>6</v>
      </c>
      <c r="D30" s="214">
        <v>0.28999999999999998</v>
      </c>
      <c r="E30" s="215">
        <v>0.03</v>
      </c>
      <c r="F30" s="216">
        <v>8</v>
      </c>
      <c r="G30" s="301"/>
      <c r="H30" s="300"/>
      <c r="J30" s="24" t="s">
        <v>6</v>
      </c>
      <c r="K30" s="58">
        <v>0.14000000000000001</v>
      </c>
      <c r="L30" s="215">
        <v>0.03</v>
      </c>
      <c r="M30" s="216">
        <v>7</v>
      </c>
      <c r="N30" s="301"/>
      <c r="O30" s="300"/>
      <c r="P30" s="204"/>
    </row>
    <row r="31" spans="1:16" ht="13.5" thickBot="1"/>
    <row r="32" spans="1:16" s="42" customFormat="1">
      <c r="A32" s="86" t="s">
        <v>1</v>
      </c>
    </row>
    <row r="33" spans="1:12" ht="5.25" customHeight="1" thickBot="1"/>
    <row r="34" spans="1:12" ht="13.5" thickBot="1">
      <c r="C34" s="24" t="s">
        <v>11</v>
      </c>
      <c r="D34" s="46">
        <f>-PMT(D39,D38,D36)+D37</f>
        <v>45</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450</v>
      </c>
      <c r="E36" s="18" t="str">
        <f>"$ per '"&amp;E3&amp;"' of practice"</f>
        <v>$ per 'acre' of practice</v>
      </c>
      <c r="I36" s="78" t="s">
        <v>162</v>
      </c>
      <c r="J36" s="236">
        <v>0</v>
      </c>
      <c r="K36" s="235">
        <v>450</v>
      </c>
      <c r="L36" s="237">
        <f>AVERAGE(J36:K36)</f>
        <v>225</v>
      </c>
    </row>
    <row r="37" spans="1:12">
      <c r="C37" s="24" t="s">
        <v>12</v>
      </c>
      <c r="D37" s="39">
        <f>K37</f>
        <v>0</v>
      </c>
      <c r="E37" s="18" t="str">
        <f>"$ per '"&amp;E3&amp;"' of practice per year"</f>
        <v>$ per 'acre' of practice per year</v>
      </c>
      <c r="I37" s="78" t="s">
        <v>161</v>
      </c>
      <c r="J37" s="236">
        <v>15</v>
      </c>
      <c r="K37" s="235"/>
      <c r="L37" s="237">
        <f>AVERAGE(J37:K37)</f>
        <v>15</v>
      </c>
    </row>
    <row r="38" spans="1:12">
      <c r="C38" s="24" t="s">
        <v>13</v>
      </c>
      <c r="D38" s="249">
        <f>K38</f>
        <v>10</v>
      </c>
      <c r="E38" s="18" t="s">
        <v>15</v>
      </c>
      <c r="I38" s="78" t="s">
        <v>163</v>
      </c>
      <c r="J38" s="245">
        <v>1</v>
      </c>
      <c r="K38" s="244">
        <v>10</v>
      </c>
      <c r="L38" s="246"/>
    </row>
    <row r="39" spans="1:12" ht="13.5" thickBot="1">
      <c r="C39" s="24" t="s">
        <v>14</v>
      </c>
      <c r="D39" s="41">
        <f>Summary!C35</f>
        <v>0</v>
      </c>
      <c r="E39" s="18" t="s">
        <v>16</v>
      </c>
      <c r="I39" s="80" t="s">
        <v>166</v>
      </c>
      <c r="J39" s="239">
        <f>J37+(J36/J38)</f>
        <v>15</v>
      </c>
      <c r="K39" s="238">
        <f>K37+(K36/K38)</f>
        <v>45</v>
      </c>
      <c r="L39" s="240">
        <f>AVERAGE(J39:K39)</f>
        <v>30</v>
      </c>
    </row>
    <row r="40" spans="1:12">
      <c r="F40" s="234"/>
    </row>
    <row r="41" spans="1:12">
      <c r="I41" s="304" t="s">
        <v>263</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58"/>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Conservation Tillage - Total Acres</v>
      </c>
      <c r="I1" s="22"/>
      <c r="J1" s="37" t="s">
        <v>135</v>
      </c>
      <c r="K1" s="50">
        <v>8</v>
      </c>
      <c r="L1" s="22"/>
      <c r="M1" s="22"/>
      <c r="N1" s="22"/>
      <c r="O1" s="22"/>
      <c r="P1" s="22"/>
      <c r="Q1" s="22"/>
      <c r="R1" s="22"/>
    </row>
    <row r="2" spans="1:19" s="20" customFormat="1" ht="12.75" customHeight="1">
      <c r="D2" s="48" t="s">
        <v>3</v>
      </c>
      <c r="E2" s="19" t="str">
        <f>VLOOKUP($K$1,'BMP info'!A:G,4,FALSE)</f>
        <v>ConserveTollTotAcres</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landuse change</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92.173913043478265</v>
      </c>
      <c r="E13" s="29">
        <f t="shared" si="0"/>
        <v>5.2173913043478262</v>
      </c>
      <c r="F13" s="51">
        <f t="shared" si="0"/>
        <v>14434.782608695652</v>
      </c>
      <c r="G13" s="305" t="s">
        <v>254</v>
      </c>
      <c r="H13" s="300"/>
      <c r="J13" s="24" t="s">
        <v>9</v>
      </c>
      <c r="K13" s="28">
        <f t="shared" ref="K13:M16" si="1">IF(K27*$D$34=0,"-",1000*K27/$D$34)</f>
        <v>47.391304347826086</v>
      </c>
      <c r="L13" s="29">
        <f t="shared" si="1"/>
        <v>3.0434782608695654</v>
      </c>
      <c r="M13" s="51">
        <f t="shared" si="1"/>
        <v>9913.04347826087</v>
      </c>
      <c r="N13" s="305" t="s">
        <v>133</v>
      </c>
      <c r="O13" s="300"/>
    </row>
    <row r="14" spans="1:19">
      <c r="C14" s="24" t="s">
        <v>7</v>
      </c>
      <c r="D14" s="31">
        <f t="shared" si="0"/>
        <v>39.130434782608695</v>
      </c>
      <c r="E14" s="32">
        <f t="shared" si="0"/>
        <v>3.0434782608695654</v>
      </c>
      <c r="F14" s="52">
        <f t="shared" si="0"/>
        <v>4391.304347826087</v>
      </c>
      <c r="G14" s="301"/>
      <c r="H14" s="300"/>
      <c r="J14" s="24" t="s">
        <v>7</v>
      </c>
      <c r="K14" s="31">
        <f t="shared" si="1"/>
        <v>23.478260869565219</v>
      </c>
      <c r="L14" s="32">
        <f t="shared" si="1"/>
        <v>2.1739130434782608</v>
      </c>
      <c r="M14" s="52">
        <f t="shared" si="1"/>
        <v>3130.4347826086955</v>
      </c>
      <c r="N14" s="301"/>
      <c r="O14" s="300"/>
    </row>
    <row r="15" spans="1:19">
      <c r="C15" s="24" t="s">
        <v>8</v>
      </c>
      <c r="D15" s="31">
        <f t="shared" si="0"/>
        <v>20.869565217391305</v>
      </c>
      <c r="E15" s="32">
        <f t="shared" si="0"/>
        <v>2.6086956521739131</v>
      </c>
      <c r="F15" s="52">
        <f t="shared" si="0"/>
        <v>1130.4347826086957</v>
      </c>
      <c r="G15" s="301"/>
      <c r="H15" s="300"/>
      <c r="J15" s="24" t="s">
        <v>8</v>
      </c>
      <c r="K15" s="31">
        <f t="shared" si="1"/>
        <v>20.434782608695652</v>
      </c>
      <c r="L15" s="32">
        <f t="shared" si="1"/>
        <v>1.3043478260869565</v>
      </c>
      <c r="M15" s="52">
        <f t="shared" si="1"/>
        <v>1130.4347826086957</v>
      </c>
      <c r="N15" s="301"/>
      <c r="O15" s="300"/>
    </row>
    <row r="16" spans="1:19" ht="13.5" thickBot="1">
      <c r="C16" s="24" t="s">
        <v>6</v>
      </c>
      <c r="D16" s="34">
        <f t="shared" si="0"/>
        <v>11.304347826086957</v>
      </c>
      <c r="E16" s="35">
        <f t="shared" si="0"/>
        <v>0.43478260869565216</v>
      </c>
      <c r="F16" s="53">
        <f t="shared" si="0"/>
        <v>391.30434782608694</v>
      </c>
      <c r="G16" s="301"/>
      <c r="H16" s="300"/>
      <c r="J16" s="24" t="s">
        <v>6</v>
      </c>
      <c r="K16" s="34">
        <f t="shared" si="1"/>
        <v>2.1739130434782608</v>
      </c>
      <c r="L16" s="35">
        <f t="shared" si="1"/>
        <v>0.43478260869565216</v>
      </c>
      <c r="M16" s="53">
        <f t="shared" si="1"/>
        <v>347.82608695652175</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10.849056603773585</v>
      </c>
      <c r="E20" s="29">
        <f t="shared" si="2"/>
        <v>191.66666666666669</v>
      </c>
      <c r="F20" s="51">
        <f t="shared" si="2"/>
        <v>6.9277108433734941E-2</v>
      </c>
      <c r="G20" s="305" t="s">
        <v>253</v>
      </c>
      <c r="H20" s="300"/>
      <c r="J20" s="24" t="s">
        <v>9</v>
      </c>
      <c r="K20" s="28">
        <f t="shared" ref="K20:M23" si="3">IF(K27=0,"-",$D$34/K27)</f>
        <v>21.100917431192659</v>
      </c>
      <c r="L20" s="29">
        <f t="shared" si="3"/>
        <v>328.57142857142856</v>
      </c>
      <c r="M20" s="51">
        <f t="shared" si="3"/>
        <v>0.10087719298245613</v>
      </c>
      <c r="N20" s="305" t="s">
        <v>132</v>
      </c>
      <c r="O20" s="300"/>
    </row>
    <row r="21" spans="1:16">
      <c r="C21" s="24" t="s">
        <v>7</v>
      </c>
      <c r="D21" s="31">
        <f t="shared" si="2"/>
        <v>25.555555555555554</v>
      </c>
      <c r="E21" s="32">
        <f t="shared" si="2"/>
        <v>328.57142857142856</v>
      </c>
      <c r="F21" s="52">
        <f t="shared" si="2"/>
        <v>0.22772277227722773</v>
      </c>
      <c r="G21" s="301"/>
      <c r="H21" s="300"/>
      <c r="J21" s="24" t="s">
        <v>7</v>
      </c>
      <c r="K21" s="31">
        <f t="shared" si="3"/>
        <v>42.592592592592588</v>
      </c>
      <c r="L21" s="32">
        <f t="shared" si="3"/>
        <v>460</v>
      </c>
      <c r="M21" s="52">
        <f t="shared" si="3"/>
        <v>0.31944444444444442</v>
      </c>
      <c r="N21" s="301"/>
      <c r="O21" s="300"/>
    </row>
    <row r="22" spans="1:16">
      <c r="C22" s="24" t="s">
        <v>8</v>
      </c>
      <c r="D22" s="31">
        <f t="shared" si="2"/>
        <v>47.916666666666671</v>
      </c>
      <c r="E22" s="32">
        <f t="shared" si="2"/>
        <v>383.33333333333337</v>
      </c>
      <c r="F22" s="52">
        <f t="shared" si="2"/>
        <v>0.88461538461538458</v>
      </c>
      <c r="G22" s="301"/>
      <c r="H22" s="300"/>
      <c r="J22" s="24" t="s">
        <v>8</v>
      </c>
      <c r="K22" s="31">
        <f t="shared" si="3"/>
        <v>48.936170212765958</v>
      </c>
      <c r="L22" s="32">
        <f t="shared" si="3"/>
        <v>766.66666666666674</v>
      </c>
      <c r="M22" s="52">
        <f t="shared" si="3"/>
        <v>0.88461538461538458</v>
      </c>
      <c r="N22" s="301"/>
      <c r="O22" s="300"/>
    </row>
    <row r="23" spans="1:16" ht="13.5" thickBot="1">
      <c r="C23" s="24" t="s">
        <v>6</v>
      </c>
      <c r="D23" s="34">
        <f t="shared" si="2"/>
        <v>88.461538461538453</v>
      </c>
      <c r="E23" s="35">
        <f t="shared" si="2"/>
        <v>2300</v>
      </c>
      <c r="F23" s="53">
        <f t="shared" si="2"/>
        <v>2.5555555555555554</v>
      </c>
      <c r="G23" s="301"/>
      <c r="H23" s="300"/>
      <c r="J23" s="24" t="s">
        <v>6</v>
      </c>
      <c r="K23" s="34">
        <f t="shared" si="3"/>
        <v>460</v>
      </c>
      <c r="L23" s="35">
        <f t="shared" si="3"/>
        <v>2300</v>
      </c>
      <c r="M23" s="53">
        <f t="shared" si="3"/>
        <v>2.875</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2.12</v>
      </c>
      <c r="E27" s="209">
        <v>0.12</v>
      </c>
      <c r="F27" s="210">
        <v>332</v>
      </c>
      <c r="G27" s="305" t="str">
        <f>"EOS pounds removed per '"&amp;E3&amp;"' of practice per year"</f>
        <v>EOS pounds removed per 'acre' of practice per year</v>
      </c>
      <c r="H27" s="300"/>
      <c r="J27" s="24" t="s">
        <v>9</v>
      </c>
      <c r="K27" s="56">
        <v>1.0900000000000001</v>
      </c>
      <c r="L27" s="209">
        <v>7.0000000000000007E-2</v>
      </c>
      <c r="M27" s="210">
        <v>228</v>
      </c>
      <c r="N27" s="299" t="str">
        <f>"delivered pounds removed per '"&amp;E3&amp;"' of practice per year"</f>
        <v>delivered pounds removed per 'acre' of practice per year</v>
      </c>
      <c r="O27" s="300"/>
      <c r="P27" s="204"/>
    </row>
    <row r="28" spans="1:16">
      <c r="C28" s="24" t="s">
        <v>7</v>
      </c>
      <c r="D28" s="211">
        <v>0.9</v>
      </c>
      <c r="E28" s="212">
        <v>7.0000000000000007E-2</v>
      </c>
      <c r="F28" s="213">
        <v>101</v>
      </c>
      <c r="G28" s="301"/>
      <c r="H28" s="300"/>
      <c r="J28" s="24" t="s">
        <v>7</v>
      </c>
      <c r="K28" s="57">
        <v>0.54</v>
      </c>
      <c r="L28" s="212">
        <v>0.05</v>
      </c>
      <c r="M28" s="213">
        <v>72</v>
      </c>
      <c r="N28" s="301"/>
      <c r="O28" s="300"/>
      <c r="P28" s="204"/>
    </row>
    <row r="29" spans="1:16">
      <c r="C29" s="24" t="s">
        <v>8</v>
      </c>
      <c r="D29" s="211">
        <v>0.48</v>
      </c>
      <c r="E29" s="212">
        <v>0.06</v>
      </c>
      <c r="F29" s="213">
        <v>26</v>
      </c>
      <c r="G29" s="301"/>
      <c r="H29" s="300"/>
      <c r="J29" s="24" t="s">
        <v>8</v>
      </c>
      <c r="K29" s="57">
        <v>0.47</v>
      </c>
      <c r="L29" s="212">
        <v>0.03</v>
      </c>
      <c r="M29" s="213">
        <v>26</v>
      </c>
      <c r="N29" s="301"/>
      <c r="O29" s="300"/>
      <c r="P29" s="204"/>
    </row>
    <row r="30" spans="1:16" ht="13.5" thickBot="1">
      <c r="C30" s="24" t="s">
        <v>6</v>
      </c>
      <c r="D30" s="214">
        <v>0.26</v>
      </c>
      <c r="E30" s="215">
        <v>0.01</v>
      </c>
      <c r="F30" s="216">
        <v>9</v>
      </c>
      <c r="G30" s="301"/>
      <c r="H30" s="300"/>
      <c r="J30" s="24" t="s">
        <v>6</v>
      </c>
      <c r="K30" s="58">
        <v>0.05</v>
      </c>
      <c r="L30" s="215">
        <v>0.01</v>
      </c>
      <c r="M30" s="216">
        <v>8</v>
      </c>
      <c r="N30" s="301"/>
      <c r="O30" s="300"/>
      <c r="P30" s="204"/>
    </row>
    <row r="31" spans="1:16" ht="13.5" thickBot="1"/>
    <row r="32" spans="1:16" s="42" customFormat="1">
      <c r="A32" s="86" t="s">
        <v>1</v>
      </c>
    </row>
    <row r="33" spans="1:12" ht="5.25" customHeight="1" thickBot="1"/>
    <row r="34" spans="1:12" ht="13.5" thickBot="1">
      <c r="C34" s="24" t="s">
        <v>11</v>
      </c>
      <c r="D34" s="46">
        <f>-PMT(D39,D38,D36)+D37</f>
        <v>23</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L36</f>
        <v>0</v>
      </c>
      <c r="E36" s="18" t="str">
        <f>"$ per '"&amp;E3&amp;"' of practice"</f>
        <v>$ per 'acre' of practice</v>
      </c>
      <c r="I36" s="78" t="s">
        <v>162</v>
      </c>
      <c r="J36" s="236">
        <v>0</v>
      </c>
      <c r="K36" s="236">
        <v>0</v>
      </c>
      <c r="L36" s="241">
        <f>AVERAGE(J36:K36)</f>
        <v>0</v>
      </c>
    </row>
    <row r="37" spans="1:12">
      <c r="C37" s="24" t="s">
        <v>12</v>
      </c>
      <c r="D37" s="39">
        <f>L37</f>
        <v>23</v>
      </c>
      <c r="E37" s="18" t="str">
        <f>"$ per '"&amp;E3&amp;"' of practice per year"</f>
        <v>$ per 'acre' of practice per year</v>
      </c>
      <c r="I37" s="78" t="s">
        <v>161</v>
      </c>
      <c r="J37" s="236">
        <v>29</v>
      </c>
      <c r="K37" s="236">
        <v>17</v>
      </c>
      <c r="L37" s="241">
        <f>AVERAGE(J37:K37)</f>
        <v>23</v>
      </c>
    </row>
    <row r="38" spans="1:12">
      <c r="C38" s="24" t="s">
        <v>13</v>
      </c>
      <c r="D38" s="40">
        <f>L38</f>
        <v>1</v>
      </c>
      <c r="E38" s="18" t="s">
        <v>15</v>
      </c>
      <c r="I38" s="78" t="s">
        <v>163</v>
      </c>
      <c r="J38" s="245">
        <v>1</v>
      </c>
      <c r="K38" s="245">
        <v>1</v>
      </c>
      <c r="L38" s="247">
        <v>1</v>
      </c>
    </row>
    <row r="39" spans="1:12" ht="13.5" thickBot="1">
      <c r="C39" s="24" t="s">
        <v>14</v>
      </c>
      <c r="D39" s="41">
        <f>Summary!C35</f>
        <v>0</v>
      </c>
      <c r="E39" s="18" t="s">
        <v>16</v>
      </c>
      <c r="I39" s="80" t="s">
        <v>166</v>
      </c>
      <c r="J39" s="239">
        <f>J37+(J36/J38)</f>
        <v>29</v>
      </c>
      <c r="K39" s="239">
        <f>K37</f>
        <v>17</v>
      </c>
      <c r="L39" s="242">
        <f>AVERAGE(J39:K39)</f>
        <v>23</v>
      </c>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41"/>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Cover Crop Standard Drilled Wheat</v>
      </c>
      <c r="I1" s="22"/>
      <c r="J1" s="37" t="s">
        <v>135</v>
      </c>
      <c r="K1" s="50">
        <v>9</v>
      </c>
      <c r="L1" s="22"/>
      <c r="M1" s="22"/>
      <c r="N1" s="22"/>
      <c r="O1" s="22"/>
      <c r="P1" s="22"/>
      <c r="Q1" s="22"/>
      <c r="R1" s="22"/>
    </row>
    <row r="2" spans="1:19" s="20" customFormat="1" ht="12.75" customHeight="1">
      <c r="D2" s="48" t="s">
        <v>3</v>
      </c>
      <c r="E2" s="19" t="str">
        <f>VLOOKUP($K$1,'BMP info'!A:G,4,FALSE)</f>
        <v>CoverCropSDW</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efficiency applied</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248.71082903609678</v>
      </c>
      <c r="E13" s="29">
        <f t="shared" si="0"/>
        <v>1.1900039666798889</v>
      </c>
      <c r="F13" s="51">
        <f t="shared" si="0"/>
        <v>1745.3391511305038</v>
      </c>
      <c r="G13" s="305" t="s">
        <v>254</v>
      </c>
      <c r="H13" s="300"/>
      <c r="J13" s="24" t="s">
        <v>9</v>
      </c>
      <c r="K13" s="28">
        <f t="shared" ref="K13:M16" si="1">IF(K27*$D$34=0,"-",1000*K27/$D$34)</f>
        <v>149.74216580721935</v>
      </c>
      <c r="L13" s="29">
        <f t="shared" si="1"/>
        <v>0.59500198333994447</v>
      </c>
      <c r="M13" s="51">
        <f t="shared" si="1"/>
        <v>1269.3375644585481</v>
      </c>
      <c r="N13" s="305" t="s">
        <v>133</v>
      </c>
      <c r="O13" s="300"/>
    </row>
    <row r="14" spans="1:19">
      <c r="C14" s="24" t="s">
        <v>7</v>
      </c>
      <c r="D14" s="31">
        <f t="shared" si="0"/>
        <v>120.78540261800872</v>
      </c>
      <c r="E14" s="32">
        <f t="shared" si="0"/>
        <v>0.3966679888932963</v>
      </c>
      <c r="F14" s="52">
        <f t="shared" si="0"/>
        <v>436.33478778262594</v>
      </c>
      <c r="G14" s="301"/>
      <c r="H14" s="300"/>
      <c r="J14" s="24" t="s">
        <v>7</v>
      </c>
      <c r="K14" s="31">
        <f t="shared" si="1"/>
        <v>82.308607695358987</v>
      </c>
      <c r="L14" s="32">
        <f t="shared" si="1"/>
        <v>0.19833399444664815</v>
      </c>
      <c r="M14" s="52">
        <f t="shared" si="1"/>
        <v>337.16779055930186</v>
      </c>
      <c r="N14" s="301"/>
      <c r="O14" s="300"/>
    </row>
    <row r="15" spans="1:19">
      <c r="C15" s="24" t="s">
        <v>8</v>
      </c>
      <c r="D15" s="31">
        <f t="shared" si="0"/>
        <v>74.573581911939698</v>
      </c>
      <c r="E15" s="32">
        <f t="shared" si="0"/>
        <v>0.19833399444664815</v>
      </c>
      <c r="F15" s="52">
        <f t="shared" si="0"/>
        <v>79.333597778659254</v>
      </c>
      <c r="G15" s="301"/>
      <c r="H15" s="300"/>
      <c r="J15" s="24" t="s">
        <v>8</v>
      </c>
      <c r="K15" s="31">
        <f t="shared" si="1"/>
        <v>72.391907973026576</v>
      </c>
      <c r="L15" s="32">
        <f t="shared" si="1"/>
        <v>0.19833399444664815</v>
      </c>
      <c r="M15" s="52">
        <f t="shared" si="1"/>
        <v>59.500198333994447</v>
      </c>
      <c r="N15" s="301"/>
      <c r="O15" s="300"/>
    </row>
    <row r="16" spans="1:19" ht="13.5" thickBot="1">
      <c r="C16" s="24" t="s">
        <v>6</v>
      </c>
      <c r="D16" s="34">
        <f t="shared" si="0"/>
        <v>55.335184450614832</v>
      </c>
      <c r="E16" s="35">
        <f t="shared" si="0"/>
        <v>0.19833399444664815</v>
      </c>
      <c r="F16" s="53" t="str">
        <f t="shared" si="0"/>
        <v>-</v>
      </c>
      <c r="G16" s="301"/>
      <c r="H16" s="300"/>
      <c r="J16" s="24" t="s">
        <v>6</v>
      </c>
      <c r="K16" s="34">
        <f t="shared" si="1"/>
        <v>44.625148750495832</v>
      </c>
      <c r="L16" s="35">
        <f t="shared" si="1"/>
        <v>0.19833399444664815</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4.0207336523126003</v>
      </c>
      <c r="E20" s="29">
        <f t="shared" si="2"/>
        <v>840.33333333333337</v>
      </c>
      <c r="F20" s="51">
        <f t="shared" si="2"/>
        <v>0.57295454545454549</v>
      </c>
      <c r="G20" s="305" t="s">
        <v>253</v>
      </c>
      <c r="H20" s="300"/>
      <c r="J20" s="24" t="s">
        <v>9</v>
      </c>
      <c r="K20" s="28">
        <f t="shared" ref="K20:M23" si="3">IF(K27=0,"-",$D$34/K27)</f>
        <v>6.6781456953642389</v>
      </c>
      <c r="L20" s="29">
        <f t="shared" si="3"/>
        <v>1680.6666666666667</v>
      </c>
      <c r="M20" s="51">
        <f t="shared" si="3"/>
        <v>0.78781250000000003</v>
      </c>
      <c r="N20" s="305" t="s">
        <v>132</v>
      </c>
      <c r="O20" s="300"/>
    </row>
    <row r="21" spans="1:16">
      <c r="C21" s="24" t="s">
        <v>7</v>
      </c>
      <c r="D21" s="31">
        <f t="shared" si="2"/>
        <v>8.2791461412151079</v>
      </c>
      <c r="E21" s="32">
        <f t="shared" si="2"/>
        <v>2521</v>
      </c>
      <c r="F21" s="52">
        <f t="shared" si="2"/>
        <v>2.291818181818182</v>
      </c>
      <c r="G21" s="301"/>
      <c r="H21" s="300"/>
      <c r="J21" s="24" t="s">
        <v>7</v>
      </c>
      <c r="K21" s="31">
        <f t="shared" si="3"/>
        <v>12.149397590361446</v>
      </c>
      <c r="L21" s="32">
        <f t="shared" si="3"/>
        <v>5042</v>
      </c>
      <c r="M21" s="52">
        <f t="shared" si="3"/>
        <v>2.9658823529411764</v>
      </c>
      <c r="N21" s="301"/>
      <c r="O21" s="300"/>
    </row>
    <row r="22" spans="1:16">
      <c r="C22" s="24" t="s">
        <v>8</v>
      </c>
      <c r="D22" s="31">
        <f t="shared" si="2"/>
        <v>13.409574468085108</v>
      </c>
      <c r="E22" s="32">
        <f t="shared" si="2"/>
        <v>5042</v>
      </c>
      <c r="F22" s="52">
        <f t="shared" si="2"/>
        <v>12.605</v>
      </c>
      <c r="G22" s="301"/>
      <c r="H22" s="300"/>
      <c r="J22" s="24" t="s">
        <v>8</v>
      </c>
      <c r="K22" s="31">
        <f t="shared" si="3"/>
        <v>13.813698630136987</v>
      </c>
      <c r="L22" s="32">
        <f t="shared" si="3"/>
        <v>5042</v>
      </c>
      <c r="M22" s="52">
        <f t="shared" si="3"/>
        <v>16.806666666666668</v>
      </c>
      <c r="N22" s="301"/>
      <c r="O22" s="300"/>
    </row>
    <row r="23" spans="1:16" ht="13.5" thickBot="1">
      <c r="C23" s="24" t="s">
        <v>6</v>
      </c>
      <c r="D23" s="34">
        <f t="shared" si="2"/>
        <v>18.071684587813621</v>
      </c>
      <c r="E23" s="35">
        <f t="shared" si="2"/>
        <v>5042</v>
      </c>
      <c r="F23" s="53" t="str">
        <f t="shared" si="2"/>
        <v>-</v>
      </c>
      <c r="G23" s="301"/>
      <c r="H23" s="300"/>
      <c r="J23" s="24" t="s">
        <v>6</v>
      </c>
      <c r="K23" s="34">
        <f t="shared" si="3"/>
        <v>22.408888888888889</v>
      </c>
      <c r="L23" s="35">
        <f t="shared" si="3"/>
        <v>5042</v>
      </c>
      <c r="M23" s="53" t="str">
        <f t="shared" si="3"/>
        <v>-</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12.54</v>
      </c>
      <c r="E27" s="209">
        <v>0.06</v>
      </c>
      <c r="F27" s="210">
        <v>88</v>
      </c>
      <c r="G27" s="305" t="str">
        <f>"EOS pounds removed per '"&amp;E3&amp;"' of practice per year"</f>
        <v>EOS pounds removed per 'acre' of practice per year</v>
      </c>
      <c r="H27" s="300"/>
      <c r="J27" s="24" t="s">
        <v>9</v>
      </c>
      <c r="K27" s="56">
        <v>7.55</v>
      </c>
      <c r="L27" s="209">
        <v>0.03</v>
      </c>
      <c r="M27" s="210">
        <v>64</v>
      </c>
      <c r="N27" s="299" t="str">
        <f>"delivered pounds removed per '"&amp;E3&amp;"' of practice per year"</f>
        <v>delivered pounds removed per 'acre' of practice per year</v>
      </c>
      <c r="O27" s="300"/>
      <c r="P27" s="204"/>
    </row>
    <row r="28" spans="1:16">
      <c r="C28" s="24" t="s">
        <v>7</v>
      </c>
      <c r="D28" s="211">
        <v>6.09</v>
      </c>
      <c r="E28" s="212">
        <v>0.02</v>
      </c>
      <c r="F28" s="213">
        <v>22</v>
      </c>
      <c r="G28" s="301"/>
      <c r="H28" s="300"/>
      <c r="J28" s="24" t="s">
        <v>7</v>
      </c>
      <c r="K28" s="57">
        <v>4.1500000000000004</v>
      </c>
      <c r="L28" s="212">
        <v>0.01</v>
      </c>
      <c r="M28" s="213">
        <v>17</v>
      </c>
      <c r="N28" s="301"/>
      <c r="O28" s="300"/>
      <c r="P28" s="204"/>
    </row>
    <row r="29" spans="1:16">
      <c r="C29" s="24" t="s">
        <v>8</v>
      </c>
      <c r="D29" s="211">
        <v>3.76</v>
      </c>
      <c r="E29" s="212">
        <v>0.01</v>
      </c>
      <c r="F29" s="213">
        <v>4</v>
      </c>
      <c r="G29" s="301"/>
      <c r="H29" s="300"/>
      <c r="J29" s="24" t="s">
        <v>8</v>
      </c>
      <c r="K29" s="57">
        <v>3.65</v>
      </c>
      <c r="L29" s="212">
        <v>0.01</v>
      </c>
      <c r="M29" s="213">
        <v>3</v>
      </c>
      <c r="N29" s="301"/>
      <c r="O29" s="300"/>
      <c r="P29" s="204"/>
    </row>
    <row r="30" spans="1:16" ht="13.5" thickBot="1">
      <c r="C30" s="24" t="s">
        <v>6</v>
      </c>
      <c r="D30" s="214">
        <v>2.79</v>
      </c>
      <c r="E30" s="215">
        <v>0.01</v>
      </c>
      <c r="F30" s="216">
        <v>0</v>
      </c>
      <c r="G30" s="301"/>
      <c r="H30" s="300"/>
      <c r="J30" s="24" t="s">
        <v>6</v>
      </c>
      <c r="K30" s="58">
        <v>2.25</v>
      </c>
      <c r="L30" s="215">
        <v>0.01</v>
      </c>
      <c r="M30" s="216">
        <v>0</v>
      </c>
      <c r="N30" s="301"/>
      <c r="O30" s="300"/>
      <c r="P30" s="204"/>
    </row>
    <row r="31" spans="1:16" ht="13.5" thickBot="1"/>
    <row r="32" spans="1:16" s="42" customFormat="1">
      <c r="A32" s="86" t="s">
        <v>1</v>
      </c>
    </row>
    <row r="33" spans="1:13" ht="5.25" customHeight="1" thickBot="1"/>
    <row r="34" spans="1:13" ht="13.5" thickBot="1">
      <c r="C34" s="24" t="s">
        <v>11</v>
      </c>
      <c r="D34" s="46">
        <f>-PMT(D39,D38,D36)+D37</f>
        <v>50.42</v>
      </c>
      <c r="E34" s="18" t="str">
        <f>"$ per '"&amp;E3&amp;"' of practice per year"</f>
        <v>$ per 'acre' of practice per year</v>
      </c>
      <c r="I34" s="82" t="s">
        <v>169</v>
      </c>
      <c r="J34" s="217" t="s">
        <v>160</v>
      </c>
      <c r="K34" s="217" t="s">
        <v>164</v>
      </c>
      <c r="L34" s="217" t="s">
        <v>167</v>
      </c>
      <c r="M34" s="81" t="s">
        <v>165</v>
      </c>
    </row>
    <row r="35" spans="1:13" ht="5.25" customHeight="1" thickBot="1">
      <c r="C35" s="24"/>
      <c r="D35" s="47"/>
      <c r="E35" s="18"/>
      <c r="I35" s="78"/>
      <c r="J35" s="220"/>
      <c r="K35" s="220"/>
      <c r="L35" s="220"/>
      <c r="M35" s="79"/>
    </row>
    <row r="36" spans="1:13">
      <c r="C36" s="24" t="s">
        <v>10</v>
      </c>
      <c r="D36" s="38">
        <v>0</v>
      </c>
      <c r="E36" s="18" t="str">
        <f>"$ per '"&amp;E3&amp;"' of practice"</f>
        <v>$ per 'acre' of practice</v>
      </c>
      <c r="I36" s="78" t="s">
        <v>162</v>
      </c>
      <c r="J36" s="236">
        <v>0</v>
      </c>
      <c r="K36" s="235">
        <v>0</v>
      </c>
      <c r="L36" s="236">
        <v>0</v>
      </c>
      <c r="M36" s="250">
        <f>AVERAGE(J36:L36)</f>
        <v>0</v>
      </c>
    </row>
    <row r="37" spans="1:13">
      <c r="C37" s="24" t="s">
        <v>12</v>
      </c>
      <c r="D37" s="39">
        <f>K37</f>
        <v>50.42</v>
      </c>
      <c r="E37" s="18" t="str">
        <f>"$ per '"&amp;E3&amp;"' of practice per year"</f>
        <v>$ per 'acre' of practice per year</v>
      </c>
      <c r="I37" s="78" t="s">
        <v>161</v>
      </c>
      <c r="J37" s="236">
        <v>37</v>
      </c>
      <c r="K37" s="235">
        <v>50.42</v>
      </c>
      <c r="L37" s="236">
        <v>33.4</v>
      </c>
      <c r="M37" s="250">
        <f>AVERAGE(J37:L37)</f>
        <v>40.273333333333333</v>
      </c>
    </row>
    <row r="38" spans="1:13">
      <c r="C38" s="24" t="s">
        <v>13</v>
      </c>
      <c r="D38" s="40">
        <v>1</v>
      </c>
      <c r="E38" s="18" t="s">
        <v>15</v>
      </c>
      <c r="I38" s="78" t="s">
        <v>163</v>
      </c>
      <c r="J38" s="245">
        <v>1</v>
      </c>
      <c r="K38" s="244">
        <v>1</v>
      </c>
      <c r="L38" s="245">
        <v>1</v>
      </c>
      <c r="M38" s="79">
        <f>AVERAGE(J38:L38)</f>
        <v>1</v>
      </c>
    </row>
    <row r="39" spans="1:13" ht="13.5" thickBot="1">
      <c r="C39" s="24" t="s">
        <v>14</v>
      </c>
      <c r="D39" s="41">
        <f>Summary!C35</f>
        <v>0</v>
      </c>
      <c r="E39" s="18" t="s">
        <v>16</v>
      </c>
      <c r="I39" s="80" t="s">
        <v>166</v>
      </c>
      <c r="J39" s="239">
        <f>-PMT(D39,J38,J36)+J37</f>
        <v>37</v>
      </c>
      <c r="K39" s="238">
        <f>-PMT(D39,K38,K36)+K37</f>
        <v>50.42</v>
      </c>
      <c r="L39" s="239">
        <f>-PMT(D39,L38,L36)+L37</f>
        <v>33.4</v>
      </c>
      <c r="M39" s="248">
        <f>-PMT(G39,M38,M36)+M37</f>
        <v>40.273333333333333</v>
      </c>
    </row>
    <row r="40" spans="1:13">
      <c r="F40" s="234"/>
    </row>
    <row r="41" spans="1:13">
      <c r="I41" s="304" t="s">
        <v>263</v>
      </c>
      <c r="J41" s="304"/>
      <c r="K41" s="304"/>
      <c r="L41" s="304"/>
    </row>
    <row r="42" spans="1:13">
      <c r="I42" s="304"/>
      <c r="J42" s="304"/>
      <c r="K42" s="304"/>
      <c r="L42" s="304"/>
    </row>
    <row r="43" spans="1:13">
      <c r="I43" s="304"/>
      <c r="J43" s="304"/>
      <c r="K43" s="304"/>
      <c r="L43" s="304"/>
    </row>
    <row r="44" spans="1:13">
      <c r="I44" s="304"/>
      <c r="J44" s="304"/>
      <c r="K44" s="304"/>
      <c r="L44" s="304"/>
    </row>
    <row r="45" spans="1:13">
      <c r="I45" s="304"/>
      <c r="J45" s="304"/>
      <c r="K45" s="304"/>
      <c r="L45" s="304"/>
    </row>
    <row r="48" spans="1:13">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sheetPr codeName="Sheet46"/>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1" width="10" style="17" bestFit="1" customWidth="1"/>
    <col min="12" max="12" width="10.28515625" style="17" customWidth="1"/>
    <col min="13" max="16384" width="9.140625" style="17"/>
  </cols>
  <sheetData>
    <row r="1" spans="1:19" s="20" customFormat="1" ht="21" customHeight="1">
      <c r="A1" s="302" t="s">
        <v>136</v>
      </c>
      <c r="B1" s="303"/>
      <c r="D1" s="25" t="s">
        <v>134</v>
      </c>
      <c r="E1" s="89" t="str">
        <f>VLOOKUP($K$1,'BMP info'!A:G,3,FALSE)</f>
        <v>Cropland Irrigation Management</v>
      </c>
      <c r="I1" s="22"/>
      <c r="J1" s="37" t="s">
        <v>135</v>
      </c>
      <c r="K1" s="50">
        <v>10</v>
      </c>
      <c r="L1" s="22"/>
      <c r="M1" s="22"/>
      <c r="N1" s="22"/>
      <c r="O1" s="22"/>
      <c r="P1" s="22"/>
      <c r="Q1" s="22"/>
      <c r="R1" s="22"/>
    </row>
    <row r="2" spans="1:19" s="20" customFormat="1" ht="12.75" customHeight="1">
      <c r="D2" s="48" t="s">
        <v>3</v>
      </c>
      <c r="E2" s="19" t="str">
        <f>VLOOKUP($K$1,'BMP info'!A:G,4,FALSE)</f>
        <v>Cropirrmgmt</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efficiency applied</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0.91930517397347922</v>
      </c>
      <c r="E13" s="29" t="str">
        <f t="shared" si="0"/>
        <v>-</v>
      </c>
      <c r="F13" s="51" t="str">
        <f t="shared" si="0"/>
        <v>-</v>
      </c>
      <c r="G13" s="305" t="s">
        <v>254</v>
      </c>
      <c r="H13" s="300"/>
      <c r="J13" s="24" t="s">
        <v>9</v>
      </c>
      <c r="K13" s="28">
        <f t="shared" ref="K13:M16" si="1">IF(K27*$D$34=0,"-",1000*K27/$D$34)</f>
        <v>0.64346627690592262</v>
      </c>
      <c r="L13" s="29" t="str">
        <f t="shared" si="1"/>
        <v>-</v>
      </c>
      <c r="M13" s="51" t="str">
        <f t="shared" si="1"/>
        <v>-</v>
      </c>
      <c r="N13" s="305" t="s">
        <v>133</v>
      </c>
      <c r="O13" s="300"/>
    </row>
    <row r="14" spans="1:19">
      <c r="C14" s="24" t="s">
        <v>7</v>
      </c>
      <c r="D14" s="31">
        <f t="shared" si="0"/>
        <v>0.53302110767049038</v>
      </c>
      <c r="E14" s="32" t="str">
        <f t="shared" si="0"/>
        <v>-</v>
      </c>
      <c r="F14" s="52" t="str">
        <f t="shared" si="0"/>
        <v>-</v>
      </c>
      <c r="G14" s="301"/>
      <c r="H14" s="300"/>
      <c r="J14" s="24" t="s">
        <v>7</v>
      </c>
      <c r="K14" s="31">
        <f t="shared" si="1"/>
        <v>0.45832886062517225</v>
      </c>
      <c r="L14" s="32" t="str">
        <f t="shared" si="1"/>
        <v>-</v>
      </c>
      <c r="M14" s="52" t="str">
        <f t="shared" si="1"/>
        <v>-</v>
      </c>
      <c r="N14" s="301"/>
      <c r="O14" s="300"/>
    </row>
    <row r="15" spans="1:19">
      <c r="C15" s="24" t="s">
        <v>8</v>
      </c>
      <c r="D15" s="31">
        <f t="shared" si="0"/>
        <v>0.44354107597317211</v>
      </c>
      <c r="E15" s="32" t="str">
        <f t="shared" si="0"/>
        <v>-</v>
      </c>
      <c r="F15" s="52" t="str">
        <f t="shared" si="0"/>
        <v>-</v>
      </c>
      <c r="G15" s="301"/>
      <c r="H15" s="300"/>
      <c r="J15" s="24" t="s">
        <v>8</v>
      </c>
      <c r="K15" s="31">
        <f t="shared" si="1"/>
        <v>0.42676428755354806</v>
      </c>
      <c r="L15" s="32" t="str">
        <f t="shared" si="1"/>
        <v>-</v>
      </c>
      <c r="M15" s="52" t="str">
        <f t="shared" si="1"/>
        <v>-</v>
      </c>
      <c r="N15" s="301"/>
      <c r="O15" s="300"/>
    </row>
    <row r="16" spans="1:19" ht="13.5" thickBot="1">
      <c r="C16" s="24" t="s">
        <v>6</v>
      </c>
      <c r="D16" s="34">
        <f t="shared" si="0"/>
        <v>0.35108209879892244</v>
      </c>
      <c r="E16" s="35" t="str">
        <f t="shared" si="0"/>
        <v>-</v>
      </c>
      <c r="F16" s="53" t="str">
        <f t="shared" si="0"/>
        <v>-</v>
      </c>
      <c r="G16" s="301"/>
      <c r="H16" s="300"/>
      <c r="J16" s="24" t="s">
        <v>6</v>
      </c>
      <c r="K16" s="34">
        <f t="shared" si="1"/>
        <v>0.27328541584635802</v>
      </c>
      <c r="L16" s="35" t="str">
        <f t="shared" si="1"/>
        <v>-</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1087.7780614219068</v>
      </c>
      <c r="E20" s="29" t="str">
        <f t="shared" si="2"/>
        <v>-</v>
      </c>
      <c r="F20" s="51" t="str">
        <f t="shared" si="2"/>
        <v>-</v>
      </c>
      <c r="G20" s="305" t="s">
        <v>253</v>
      </c>
      <c r="H20" s="300"/>
      <c r="J20" s="24" t="s">
        <v>9</v>
      </c>
      <c r="K20" s="28">
        <f t="shared" ref="K20:M23" si="3">IF(K27=0,"-",$D$34/K27)</f>
        <v>1554.082996871962</v>
      </c>
      <c r="L20" s="29" t="str">
        <f t="shared" si="3"/>
        <v>-</v>
      </c>
      <c r="M20" s="51" t="str">
        <f t="shared" si="3"/>
        <v>-</v>
      </c>
      <c r="N20" s="305" t="s">
        <v>132</v>
      </c>
      <c r="O20" s="300"/>
    </row>
    <row r="21" spans="1:16">
      <c r="C21" s="24" t="s">
        <v>7</v>
      </c>
      <c r="D21" s="31">
        <f t="shared" si="2"/>
        <v>1876.098311322771</v>
      </c>
      <c r="E21" s="32" t="str">
        <f t="shared" si="2"/>
        <v>-</v>
      </c>
      <c r="F21" s="52" t="str">
        <f t="shared" si="2"/>
        <v>-</v>
      </c>
      <c r="G21" s="301"/>
      <c r="H21" s="300"/>
      <c r="J21" s="24" t="s">
        <v>7</v>
      </c>
      <c r="K21" s="31">
        <f t="shared" si="3"/>
        <v>2181.8394735953884</v>
      </c>
      <c r="L21" s="32" t="str">
        <f t="shared" si="3"/>
        <v>-</v>
      </c>
      <c r="M21" s="52" t="str">
        <f t="shared" si="3"/>
        <v>-</v>
      </c>
      <c r="N21" s="301"/>
      <c r="O21" s="300"/>
    </row>
    <row r="22" spans="1:16">
      <c r="C22" s="24" t="s">
        <v>8</v>
      </c>
      <c r="D22" s="31">
        <f t="shared" si="2"/>
        <v>2254.582617418022</v>
      </c>
      <c r="E22" s="32" t="str">
        <f t="shared" si="2"/>
        <v>-</v>
      </c>
      <c r="F22" s="52" t="str">
        <f t="shared" si="2"/>
        <v>-</v>
      </c>
      <c r="G22" s="301"/>
      <c r="H22" s="300"/>
      <c r="J22" s="24" t="s">
        <v>8</v>
      </c>
      <c r="K22" s="31">
        <f t="shared" si="3"/>
        <v>2343.2138751172461</v>
      </c>
      <c r="L22" s="32" t="str">
        <f t="shared" si="3"/>
        <v>-</v>
      </c>
      <c r="M22" s="52" t="str">
        <f t="shared" si="3"/>
        <v>-</v>
      </c>
      <c r="N22" s="301"/>
      <c r="O22" s="300"/>
    </row>
    <row r="23" spans="1:16" ht="13.5" thickBot="1">
      <c r="C23" s="24" t="s">
        <v>6</v>
      </c>
      <c r="D23" s="34">
        <f t="shared" si="2"/>
        <v>2848.3366238867584</v>
      </c>
      <c r="E23" s="35" t="str">
        <f t="shared" si="2"/>
        <v>-</v>
      </c>
      <c r="F23" s="53" t="str">
        <f t="shared" si="2"/>
        <v>-</v>
      </c>
      <c r="G23" s="301"/>
      <c r="H23" s="300"/>
      <c r="J23" s="24" t="s">
        <v>6</v>
      </c>
      <c r="K23" s="34">
        <f t="shared" si="3"/>
        <v>3659.1780681125092</v>
      </c>
      <c r="L23" s="35" t="str">
        <f t="shared" si="3"/>
        <v>-</v>
      </c>
      <c r="M23" s="53" t="str">
        <f t="shared" si="3"/>
        <v>-</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0.88253296701454009</v>
      </c>
      <c r="E27" s="209">
        <v>0</v>
      </c>
      <c r="F27" s="210">
        <v>0</v>
      </c>
      <c r="G27" s="305" t="str">
        <f>"EOS pounds removed per '"&amp;E3&amp;"' of practice per year"</f>
        <v>EOS pounds removed per 'acre' of practice per year</v>
      </c>
      <c r="H27" s="300"/>
      <c r="J27" s="24" t="s">
        <v>9</v>
      </c>
      <c r="K27" s="56">
        <v>0.61772762582968577</v>
      </c>
      <c r="L27" s="209">
        <v>0</v>
      </c>
      <c r="M27" s="210">
        <v>0</v>
      </c>
      <c r="N27" s="299" t="str">
        <f>"delivered pounds removed per '"&amp;E3&amp;"' of practice per year"</f>
        <v>delivered pounds removed per 'acre' of practice per year</v>
      </c>
      <c r="O27" s="300"/>
      <c r="P27" s="204"/>
    </row>
    <row r="28" spans="1:16">
      <c r="C28" s="24" t="s">
        <v>7</v>
      </c>
      <c r="D28" s="211">
        <v>0.5117002633636708</v>
      </c>
      <c r="E28" s="212">
        <v>0</v>
      </c>
      <c r="F28" s="213">
        <v>0</v>
      </c>
      <c r="G28" s="301"/>
      <c r="H28" s="300"/>
      <c r="J28" s="24" t="s">
        <v>7</v>
      </c>
      <c r="K28" s="57">
        <v>0.43999570620016537</v>
      </c>
      <c r="L28" s="212">
        <v>0</v>
      </c>
      <c r="M28" s="213">
        <v>0</v>
      </c>
      <c r="N28" s="301"/>
      <c r="O28" s="300"/>
      <c r="P28" s="204"/>
    </row>
    <row r="29" spans="1:16">
      <c r="C29" s="24" t="s">
        <v>8</v>
      </c>
      <c r="D29" s="211">
        <v>0.42579943293424521</v>
      </c>
      <c r="E29" s="212">
        <v>0</v>
      </c>
      <c r="F29" s="213">
        <v>0</v>
      </c>
      <c r="G29" s="301"/>
      <c r="H29" s="300"/>
      <c r="J29" s="24" t="s">
        <v>8</v>
      </c>
      <c r="K29" s="57">
        <v>0.40969371605140609</v>
      </c>
      <c r="L29" s="212">
        <v>0</v>
      </c>
      <c r="M29" s="213">
        <v>0</v>
      </c>
      <c r="N29" s="301"/>
      <c r="O29" s="300"/>
      <c r="P29" s="204"/>
    </row>
    <row r="30" spans="1:16" ht="13.5" thickBot="1">
      <c r="C30" s="24" t="s">
        <v>6</v>
      </c>
      <c r="D30" s="214">
        <v>0.33703881484696552</v>
      </c>
      <c r="E30" s="215">
        <v>0</v>
      </c>
      <c r="F30" s="216">
        <v>0</v>
      </c>
      <c r="G30" s="301"/>
      <c r="H30" s="300"/>
      <c r="J30" s="24" t="s">
        <v>6</v>
      </c>
      <c r="K30" s="58">
        <v>0.26235399921250369</v>
      </c>
      <c r="L30" s="215">
        <v>0</v>
      </c>
      <c r="M30" s="216">
        <v>0</v>
      </c>
      <c r="N30" s="301"/>
      <c r="O30" s="300"/>
      <c r="P30" s="204"/>
    </row>
    <row r="31" spans="1:16" ht="13.5" thickBot="1"/>
    <row r="32" spans="1:16" s="42" customFormat="1">
      <c r="A32" s="86" t="s">
        <v>1</v>
      </c>
    </row>
    <row r="33" spans="1:12" ht="5.25" customHeight="1" thickBot="1"/>
    <row r="34" spans="1:12" ht="13.5" thickBot="1">
      <c r="C34" s="24" t="s">
        <v>11</v>
      </c>
      <c r="D34" s="46">
        <f>-PMT(D39,D38,D36)+D37</f>
        <v>960</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9600</v>
      </c>
      <c r="E36" s="18" t="str">
        <f>"$ per '"&amp;E3&amp;"' of practice"</f>
        <v>$ per 'acre' of practice</v>
      </c>
      <c r="I36" s="78" t="s">
        <v>162</v>
      </c>
      <c r="J36" s="236">
        <v>0</v>
      </c>
      <c r="K36" s="235">
        <v>9600</v>
      </c>
      <c r="L36" s="237">
        <f>AVERAGE(J36:K36)</f>
        <v>4800</v>
      </c>
    </row>
    <row r="37" spans="1:12">
      <c r="C37" s="24" t="s">
        <v>12</v>
      </c>
      <c r="D37" s="39">
        <f>K37</f>
        <v>0</v>
      </c>
      <c r="E37" s="18" t="str">
        <f>"$ per '"&amp;E3&amp;"' of practice per year"</f>
        <v>$ per 'acre' of practice per year</v>
      </c>
      <c r="I37" s="78" t="s">
        <v>161</v>
      </c>
      <c r="J37" s="236">
        <v>30</v>
      </c>
      <c r="K37" s="235"/>
      <c r="L37" s="237">
        <f>AVERAGE(J37:K37)</f>
        <v>30</v>
      </c>
    </row>
    <row r="38" spans="1:12">
      <c r="C38" s="24" t="s">
        <v>13</v>
      </c>
      <c r="D38" s="249">
        <f>K38</f>
        <v>10</v>
      </c>
      <c r="E38" s="18" t="s">
        <v>15</v>
      </c>
      <c r="I38" s="78" t="s">
        <v>163</v>
      </c>
      <c r="J38" s="245">
        <v>1</v>
      </c>
      <c r="K38" s="244">
        <v>10</v>
      </c>
      <c r="L38" s="246">
        <f>AVERAGE(J38:K38)</f>
        <v>5.5</v>
      </c>
    </row>
    <row r="39" spans="1:12" ht="13.5" thickBot="1">
      <c r="C39" s="24" t="s">
        <v>14</v>
      </c>
      <c r="D39" s="41">
        <f>Summary!C35</f>
        <v>0</v>
      </c>
      <c r="E39" s="18" t="s">
        <v>16</v>
      </c>
      <c r="I39" s="80" t="s">
        <v>166</v>
      </c>
      <c r="J39" s="239">
        <f>-PMT(D39,J38,J36)+J37</f>
        <v>30</v>
      </c>
      <c r="K39" s="238">
        <f>-PMT(D39,K38,K36)+K37</f>
        <v>960</v>
      </c>
      <c r="L39" s="240">
        <f>-PMT(G39,L38,L36)+L37</f>
        <v>902.72727272727275</v>
      </c>
    </row>
    <row r="40" spans="1:12">
      <c r="F40" s="234"/>
    </row>
    <row r="41" spans="1:12">
      <c r="I41" s="304" t="s">
        <v>263</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L50"/>
  <sheetViews>
    <sheetView workbookViewId="0">
      <selection activeCell="A50" sqref="A50"/>
    </sheetView>
  </sheetViews>
  <sheetFormatPr defaultRowHeight="25.5" customHeight="1"/>
  <cols>
    <col min="1" max="1" width="9.28515625" style="1" customWidth="1"/>
    <col min="2" max="2" width="37.7109375" style="1" bestFit="1" customWidth="1"/>
    <col min="3" max="3" width="9.28515625" style="1" customWidth="1"/>
    <col min="4" max="4" width="38.85546875" style="1" customWidth="1"/>
    <col min="5" max="5" width="9.28515625" style="1" customWidth="1"/>
    <col min="6" max="6" width="40.42578125" style="1" customWidth="1"/>
    <col min="7" max="7" width="9.140625" style="1"/>
    <col min="8" max="8" width="11.42578125" style="1" bestFit="1" customWidth="1"/>
    <col min="9" max="9" width="26.42578125" style="132" customWidth="1"/>
    <col min="10" max="10" width="11.42578125" style="147" customWidth="1"/>
    <col min="11" max="11" width="26.42578125" style="1" customWidth="1"/>
    <col min="12" max="12" width="11.42578125" style="147" customWidth="1"/>
    <col min="13" max="13" width="39.140625" style="1" bestFit="1" customWidth="1"/>
    <col min="14" max="16384" width="9.140625" style="1"/>
  </cols>
  <sheetData>
    <row r="1" spans="1:12" ht="25.5" customHeight="1" thickTop="1" thickBot="1">
      <c r="A1" s="277" t="s">
        <v>201</v>
      </c>
      <c r="B1" s="278"/>
      <c r="C1" s="278"/>
      <c r="D1" s="278"/>
      <c r="E1" s="278"/>
      <c r="F1" s="279"/>
    </row>
    <row r="2" spans="1:12" s="60" customFormat="1" ht="14.25" thickTop="1" thickBot="1">
      <c r="A2" s="148" t="s">
        <v>135</v>
      </c>
      <c r="B2" s="149" t="s">
        <v>217</v>
      </c>
      <c r="C2" s="149" t="s">
        <v>135</v>
      </c>
      <c r="D2" s="149" t="s">
        <v>217</v>
      </c>
      <c r="E2" s="150" t="s">
        <v>135</v>
      </c>
      <c r="F2" s="264" t="s">
        <v>217</v>
      </c>
      <c r="I2" s="151"/>
      <c r="J2" s="152"/>
      <c r="L2" s="152"/>
    </row>
    <row r="3" spans="1:12" ht="25.5" customHeight="1" thickTop="1">
      <c r="A3" s="156" t="s">
        <v>223</v>
      </c>
      <c r="B3" s="267" t="s">
        <v>209</v>
      </c>
      <c r="C3" s="153">
        <v>18</v>
      </c>
      <c r="D3" s="162" t="s">
        <v>102</v>
      </c>
      <c r="E3" s="153" t="s">
        <v>154</v>
      </c>
      <c r="F3" s="160" t="s">
        <v>144</v>
      </c>
    </row>
    <row r="4" spans="1:12" ht="25.5" customHeight="1">
      <c r="A4" s="157" t="s">
        <v>202</v>
      </c>
      <c r="B4" s="268" t="s">
        <v>208</v>
      </c>
      <c r="C4" s="154">
        <v>19</v>
      </c>
      <c r="D4" s="163" t="s">
        <v>256</v>
      </c>
      <c r="E4" s="154" t="s">
        <v>155</v>
      </c>
      <c r="F4" s="161" t="s">
        <v>147</v>
      </c>
    </row>
    <row r="5" spans="1:12" ht="25.5" customHeight="1">
      <c r="A5" s="157" t="s">
        <v>203</v>
      </c>
      <c r="B5" s="268" t="s">
        <v>212</v>
      </c>
      <c r="C5" s="154">
        <v>20</v>
      </c>
      <c r="D5" s="163" t="s">
        <v>104</v>
      </c>
      <c r="E5" s="154" t="s">
        <v>156</v>
      </c>
      <c r="F5" s="161" t="s">
        <v>159</v>
      </c>
    </row>
    <row r="6" spans="1:12" ht="25.5" customHeight="1">
      <c r="A6" s="157" t="s">
        <v>204</v>
      </c>
      <c r="B6" s="268" t="s">
        <v>210</v>
      </c>
      <c r="C6" s="154">
        <v>21</v>
      </c>
      <c r="D6" s="163" t="s">
        <v>106</v>
      </c>
      <c r="E6" s="154">
        <v>39</v>
      </c>
      <c r="F6" s="271" t="s">
        <v>21</v>
      </c>
    </row>
    <row r="7" spans="1:12" ht="25.5" customHeight="1">
      <c r="A7" s="157" t="s">
        <v>205</v>
      </c>
      <c r="B7" s="268" t="s">
        <v>213</v>
      </c>
      <c r="C7" s="154">
        <v>22</v>
      </c>
      <c r="D7" s="163" t="s">
        <v>64</v>
      </c>
      <c r="E7" s="154">
        <v>40</v>
      </c>
      <c r="F7" s="271" t="s">
        <v>290</v>
      </c>
    </row>
    <row r="8" spans="1:12" ht="25.5" customHeight="1">
      <c r="A8" s="157" t="s">
        <v>206</v>
      </c>
      <c r="B8" s="268" t="s">
        <v>211</v>
      </c>
      <c r="C8" s="154">
        <v>23</v>
      </c>
      <c r="D8" s="163" t="s">
        <v>109</v>
      </c>
      <c r="E8" s="154">
        <v>41</v>
      </c>
      <c r="F8" s="271" t="s">
        <v>280</v>
      </c>
    </row>
    <row r="9" spans="1:12" ht="25.5" customHeight="1">
      <c r="A9" s="157" t="s">
        <v>207</v>
      </c>
      <c r="B9" s="268" t="s">
        <v>214</v>
      </c>
      <c r="C9" s="154">
        <v>24</v>
      </c>
      <c r="D9" s="163" t="s">
        <v>111</v>
      </c>
      <c r="E9" s="154">
        <v>42</v>
      </c>
      <c r="F9" s="271" t="s">
        <v>281</v>
      </c>
    </row>
    <row r="10" spans="1:12" ht="25.5" customHeight="1">
      <c r="A10" s="157">
        <v>1</v>
      </c>
      <c r="B10" s="268" t="s">
        <v>115</v>
      </c>
      <c r="C10" s="154">
        <v>25</v>
      </c>
      <c r="D10" s="163" t="s">
        <v>126</v>
      </c>
      <c r="E10" s="154">
        <v>43</v>
      </c>
      <c r="F10" s="271" t="s">
        <v>26</v>
      </c>
    </row>
    <row r="11" spans="1:12" ht="25.5" customHeight="1">
      <c r="A11" s="157">
        <v>2</v>
      </c>
      <c r="B11" s="268" t="s">
        <v>75</v>
      </c>
      <c r="C11" s="154">
        <v>26</v>
      </c>
      <c r="D11" s="163" t="s">
        <v>257</v>
      </c>
      <c r="E11" s="154">
        <v>44</v>
      </c>
      <c r="F11" s="271" t="s">
        <v>66</v>
      </c>
    </row>
    <row r="12" spans="1:12" ht="25.5" customHeight="1">
      <c r="A12" s="157">
        <v>3</v>
      </c>
      <c r="B12" s="268" t="s">
        <v>77</v>
      </c>
      <c r="C12" s="154">
        <v>27</v>
      </c>
      <c r="D12" s="163" t="s">
        <v>117</v>
      </c>
      <c r="E12" s="154">
        <v>45</v>
      </c>
      <c r="F12" s="271" t="s">
        <v>282</v>
      </c>
    </row>
    <row r="13" spans="1:12" ht="25.5" customHeight="1">
      <c r="A13" s="157">
        <v>4</v>
      </c>
      <c r="B13" s="268" t="s">
        <v>98</v>
      </c>
      <c r="C13" s="154">
        <v>28</v>
      </c>
      <c r="D13" s="163" t="s">
        <v>121</v>
      </c>
      <c r="E13" s="154">
        <v>46</v>
      </c>
      <c r="F13" s="271" t="s">
        <v>283</v>
      </c>
    </row>
    <row r="14" spans="1:12" ht="25.5" customHeight="1">
      <c r="A14" s="157">
        <v>5</v>
      </c>
      <c r="B14" s="268" t="s">
        <v>73</v>
      </c>
      <c r="C14" s="154">
        <v>29</v>
      </c>
      <c r="D14" s="163" t="s">
        <v>142</v>
      </c>
      <c r="E14" s="154">
        <v>47</v>
      </c>
      <c r="F14" s="271" t="s">
        <v>37</v>
      </c>
    </row>
    <row r="15" spans="1:12" ht="25.5" customHeight="1">
      <c r="A15" s="157">
        <v>6</v>
      </c>
      <c r="B15" s="268" t="s">
        <v>94</v>
      </c>
      <c r="C15" s="154">
        <v>30</v>
      </c>
      <c r="D15" s="163" t="s">
        <v>119</v>
      </c>
      <c r="E15" s="154">
        <v>48</v>
      </c>
      <c r="F15" s="271" t="s">
        <v>29</v>
      </c>
    </row>
    <row r="16" spans="1:12" ht="25.5" customHeight="1">
      <c r="A16" s="157">
        <v>7</v>
      </c>
      <c r="B16" s="268" t="s">
        <v>123</v>
      </c>
      <c r="C16" s="154">
        <v>31</v>
      </c>
      <c r="D16" s="163" t="s">
        <v>18</v>
      </c>
      <c r="E16" s="154">
        <v>49</v>
      </c>
      <c r="F16" s="271" t="s">
        <v>31</v>
      </c>
    </row>
    <row r="17" spans="1:7" ht="25.5" customHeight="1">
      <c r="A17" s="157">
        <v>8</v>
      </c>
      <c r="B17" s="268" t="s">
        <v>188</v>
      </c>
      <c r="C17" s="154">
        <v>32</v>
      </c>
      <c r="D17" s="163" t="s">
        <v>20</v>
      </c>
      <c r="E17" s="154">
        <v>50</v>
      </c>
      <c r="F17" s="271" t="s">
        <v>284</v>
      </c>
    </row>
    <row r="18" spans="1:7" ht="25.5" customHeight="1">
      <c r="A18" s="157">
        <v>9</v>
      </c>
      <c r="B18" s="268" t="s">
        <v>80</v>
      </c>
      <c r="C18" s="154">
        <v>33</v>
      </c>
      <c r="D18" s="163" t="s">
        <v>58</v>
      </c>
      <c r="E18" s="154">
        <v>51</v>
      </c>
      <c r="F18" s="271" t="s">
        <v>285</v>
      </c>
    </row>
    <row r="19" spans="1:7" ht="25.5" customHeight="1">
      <c r="A19" s="157">
        <v>10</v>
      </c>
      <c r="B19" s="268" t="s">
        <v>82</v>
      </c>
      <c r="C19" s="154">
        <v>34</v>
      </c>
      <c r="D19" s="163" t="s">
        <v>47</v>
      </c>
      <c r="E19" s="154">
        <v>52</v>
      </c>
      <c r="F19" s="271" t="s">
        <v>286</v>
      </c>
    </row>
    <row r="20" spans="1:7" ht="25.5" customHeight="1">
      <c r="A20" s="157">
        <v>11</v>
      </c>
      <c r="B20" s="268" t="s">
        <v>86</v>
      </c>
      <c r="C20" s="154">
        <v>35</v>
      </c>
      <c r="D20" s="163" t="s">
        <v>62</v>
      </c>
      <c r="E20" s="154">
        <v>53</v>
      </c>
      <c r="F20" s="271" t="s">
        <v>287</v>
      </c>
    </row>
    <row r="21" spans="1:7" ht="25.5" customHeight="1">
      <c r="A21" s="157">
        <v>12</v>
      </c>
      <c r="B21" s="268" t="s">
        <v>65</v>
      </c>
      <c r="C21" s="154" t="s">
        <v>148</v>
      </c>
      <c r="D21" s="163" t="s">
        <v>141</v>
      </c>
      <c r="E21" s="154">
        <v>54</v>
      </c>
      <c r="F21" s="271" t="s">
        <v>34</v>
      </c>
    </row>
    <row r="22" spans="1:7" ht="25.5" customHeight="1">
      <c r="A22" s="157">
        <v>13</v>
      </c>
      <c r="B22" s="268" t="s">
        <v>88</v>
      </c>
      <c r="C22" s="154" t="s">
        <v>149</v>
      </c>
      <c r="D22" s="163" t="s">
        <v>145</v>
      </c>
      <c r="E22" s="154">
        <v>55</v>
      </c>
      <c r="F22" s="271" t="s">
        <v>41</v>
      </c>
    </row>
    <row r="23" spans="1:7" ht="25.5" customHeight="1">
      <c r="A23" s="157">
        <v>14</v>
      </c>
      <c r="B23" s="268" t="s">
        <v>90</v>
      </c>
      <c r="C23" s="154" t="s">
        <v>150</v>
      </c>
      <c r="D23" s="163" t="s">
        <v>157</v>
      </c>
      <c r="E23" s="154">
        <v>56</v>
      </c>
      <c r="F23" s="271" t="s">
        <v>44</v>
      </c>
    </row>
    <row r="24" spans="1:7" ht="25.5" customHeight="1">
      <c r="A24" s="157">
        <v>15</v>
      </c>
      <c r="B24" s="268" t="s">
        <v>92</v>
      </c>
      <c r="C24" s="154" t="s">
        <v>151</v>
      </c>
      <c r="D24" s="163" t="s">
        <v>143</v>
      </c>
      <c r="E24" s="154">
        <v>57</v>
      </c>
      <c r="F24" s="271" t="s">
        <v>67</v>
      </c>
    </row>
    <row r="25" spans="1:7" ht="25.5" customHeight="1">
      <c r="A25" s="157">
        <v>16</v>
      </c>
      <c r="B25" s="268" t="s">
        <v>96</v>
      </c>
      <c r="C25" s="154" t="s">
        <v>152</v>
      </c>
      <c r="D25" s="163" t="s">
        <v>146</v>
      </c>
      <c r="E25" s="154">
        <v>58</v>
      </c>
      <c r="F25" s="271" t="s">
        <v>288</v>
      </c>
    </row>
    <row r="26" spans="1:7" ht="25.5" customHeight="1" thickBot="1">
      <c r="A26" s="158">
        <v>17</v>
      </c>
      <c r="B26" s="269" t="s">
        <v>100</v>
      </c>
      <c r="C26" s="155" t="s">
        <v>153</v>
      </c>
      <c r="D26" s="164" t="s">
        <v>158</v>
      </c>
      <c r="E26" s="155">
        <v>59</v>
      </c>
      <c r="F26" s="272" t="s">
        <v>289</v>
      </c>
    </row>
    <row r="27" spans="1:7" ht="25.5" customHeight="1" thickTop="1" thickBot="1"/>
    <row r="28" spans="1:7" ht="25.5" customHeight="1">
      <c r="A28" s="187" t="s">
        <v>218</v>
      </c>
      <c r="B28" s="188"/>
      <c r="C28" s="188"/>
      <c r="D28" s="188"/>
      <c r="E28" s="188"/>
      <c r="F28" s="189"/>
      <c r="G28" s="17"/>
    </row>
    <row r="29" spans="1:7" ht="34.5" customHeight="1">
      <c r="A29" s="280" t="s">
        <v>243</v>
      </c>
      <c r="B29" s="290"/>
      <c r="C29" s="290"/>
      <c r="D29" s="290"/>
      <c r="E29" s="290"/>
      <c r="F29" s="291"/>
      <c r="G29" s="265"/>
    </row>
    <row r="30" spans="1:7" ht="12.75">
      <c r="A30" s="280" t="s">
        <v>247</v>
      </c>
      <c r="B30" s="292"/>
      <c r="C30" s="292"/>
      <c r="D30" s="292"/>
      <c r="E30" s="292"/>
      <c r="F30" s="293"/>
      <c r="G30" s="266"/>
    </row>
    <row r="31" spans="1:7" ht="12.75">
      <c r="A31" s="280" t="s">
        <v>244</v>
      </c>
      <c r="B31" s="292"/>
      <c r="C31" s="292"/>
      <c r="D31" s="292"/>
      <c r="E31" s="292"/>
      <c r="F31" s="293"/>
      <c r="G31" s="266"/>
    </row>
    <row r="32" spans="1:7" ht="12.75">
      <c r="A32" s="280" t="s">
        <v>245</v>
      </c>
      <c r="B32" s="292"/>
      <c r="C32" s="292"/>
      <c r="D32" s="292"/>
      <c r="E32" s="292"/>
      <c r="F32" s="293"/>
      <c r="G32" s="266"/>
    </row>
    <row r="33" spans="1:7" ht="12.75">
      <c r="A33" s="280"/>
      <c r="B33" s="292"/>
      <c r="C33" s="292"/>
      <c r="D33" s="292"/>
      <c r="E33" s="292"/>
      <c r="F33" s="293"/>
      <c r="G33" s="266"/>
    </row>
    <row r="34" spans="1:7" ht="25.5" customHeight="1">
      <c r="A34" s="280" t="s">
        <v>258</v>
      </c>
      <c r="B34" s="281"/>
      <c r="C34" s="281"/>
      <c r="D34" s="281"/>
      <c r="E34" s="281"/>
      <c r="F34" s="282"/>
      <c r="G34" s="17"/>
    </row>
    <row r="35" spans="1:7" ht="12.75">
      <c r="A35" s="196"/>
      <c r="B35" s="197" t="s">
        <v>14</v>
      </c>
      <c r="C35" s="170">
        <v>0</v>
      </c>
      <c r="D35" s="191"/>
      <c r="E35" s="191"/>
      <c r="F35" s="192"/>
      <c r="G35" s="17"/>
    </row>
    <row r="36" spans="1:7" ht="25.5" customHeight="1" thickBot="1">
      <c r="A36" s="283" t="s">
        <v>226</v>
      </c>
      <c r="B36" s="284"/>
      <c r="C36" s="284"/>
      <c r="D36" s="284"/>
      <c r="E36" s="284"/>
      <c r="F36" s="285"/>
      <c r="G36" s="17"/>
    </row>
    <row r="37" spans="1:7" ht="25.5" customHeight="1" thickBot="1">
      <c r="B37" s="171"/>
      <c r="C37" s="186"/>
    </row>
    <row r="38" spans="1:7" ht="12.75">
      <c r="A38" s="187" t="s">
        <v>246</v>
      </c>
      <c r="B38" s="188"/>
      <c r="C38" s="188"/>
      <c r="D38" s="188"/>
      <c r="E38" s="188"/>
      <c r="F38" s="189"/>
    </row>
    <row r="39" spans="1:7" ht="25.5" customHeight="1">
      <c r="A39" s="198" t="s">
        <v>160</v>
      </c>
      <c r="B39" s="286" t="s">
        <v>237</v>
      </c>
      <c r="C39" s="286"/>
      <c r="D39" s="286"/>
      <c r="E39" s="286"/>
      <c r="F39" s="287"/>
    </row>
    <row r="40" spans="1:7" ht="25.5" customHeight="1">
      <c r="A40" s="198" t="s">
        <v>164</v>
      </c>
      <c r="B40" s="286" t="s">
        <v>236</v>
      </c>
      <c r="C40" s="286"/>
      <c r="D40" s="286"/>
      <c r="E40" s="286"/>
      <c r="F40" s="287"/>
    </row>
    <row r="41" spans="1:7" ht="25.5" customHeight="1">
      <c r="A41" s="199" t="s">
        <v>233</v>
      </c>
      <c r="B41" s="286" t="s">
        <v>235</v>
      </c>
      <c r="C41" s="286"/>
      <c r="D41" s="286"/>
      <c r="E41" s="286"/>
      <c r="F41" s="287"/>
    </row>
    <row r="42" spans="1:7" ht="25.5" customHeight="1">
      <c r="A42" s="199" t="s">
        <v>229</v>
      </c>
      <c r="B42" s="286" t="s">
        <v>238</v>
      </c>
      <c r="C42" s="286"/>
      <c r="D42" s="286"/>
      <c r="E42" s="286"/>
      <c r="F42" s="287"/>
    </row>
    <row r="43" spans="1:7" ht="25.5" customHeight="1" thickBot="1">
      <c r="A43" s="200" t="s">
        <v>167</v>
      </c>
      <c r="B43" s="288" t="s">
        <v>239</v>
      </c>
      <c r="C43" s="288"/>
      <c r="D43" s="288"/>
      <c r="E43" s="288"/>
      <c r="F43" s="289"/>
    </row>
    <row r="44" spans="1:7" ht="25.5" customHeight="1" thickBot="1"/>
    <row r="45" spans="1:7" ht="12.75">
      <c r="A45" s="187" t="s">
        <v>234</v>
      </c>
      <c r="B45" s="188"/>
      <c r="C45" s="188"/>
      <c r="D45" s="188"/>
      <c r="E45" s="188"/>
      <c r="F45" s="189"/>
    </row>
    <row r="46" spans="1:7" ht="12.75">
      <c r="A46" s="190" t="s">
        <v>56</v>
      </c>
      <c r="B46" s="191" t="s">
        <v>240</v>
      </c>
      <c r="C46" s="191"/>
      <c r="D46" s="191"/>
      <c r="E46" s="191"/>
      <c r="F46" s="192"/>
    </row>
    <row r="47" spans="1:7" ht="12.75">
      <c r="A47" s="190" t="s">
        <v>54</v>
      </c>
      <c r="B47" s="191" t="s">
        <v>241</v>
      </c>
      <c r="C47" s="191"/>
      <c r="D47" s="191"/>
      <c r="E47" s="191"/>
      <c r="F47" s="192"/>
    </row>
    <row r="48" spans="1:7" ht="13.5" thickBot="1">
      <c r="A48" s="193" t="s">
        <v>55</v>
      </c>
      <c r="B48" s="194" t="s">
        <v>242</v>
      </c>
      <c r="C48" s="194"/>
      <c r="D48" s="194"/>
      <c r="E48" s="194"/>
      <c r="F48" s="195"/>
    </row>
    <row r="50" spans="1:1" ht="25.5" customHeight="1">
      <c r="A50" s="1" t="s">
        <v>297</v>
      </c>
    </row>
  </sheetData>
  <mergeCells count="13">
    <mergeCell ref="B42:F42"/>
    <mergeCell ref="B43:F43"/>
    <mergeCell ref="A29:F29"/>
    <mergeCell ref="A30:F30"/>
    <mergeCell ref="A31:F31"/>
    <mergeCell ref="A32:F32"/>
    <mergeCell ref="A33:F33"/>
    <mergeCell ref="A1:F1"/>
    <mergeCell ref="A34:F34"/>
    <mergeCell ref="A36:F36"/>
    <mergeCell ref="B41:F41"/>
    <mergeCell ref="B39:F39"/>
    <mergeCell ref="B40:F40"/>
  </mergeCells>
  <phoneticPr fontId="1" type="noConversion"/>
  <hyperlinks>
    <hyperlink ref="B3" location="'BMP info'!A1" display="Background Information About BMPs"/>
    <hyperlink ref="B4" location="'TN eos'!A1" display="Edge-of-Stream TN Reductions and Costs"/>
    <hyperlink ref="B5" location="'TN del'!A1" display="Delivered TN Reductions and Costs"/>
    <hyperlink ref="B6" location="'TP eos'!A1" display="Edge-of-Stream TP Reductions and Costs"/>
    <hyperlink ref="B7" location="'TP del'!A1" display="Delivered TP Reductions and Costs"/>
    <hyperlink ref="B8" location="'TSS eos'!A1" display="Edge-of-Stream TSS Reductions and Costs"/>
    <hyperlink ref="B9" location="'TSS del'!A1" display="Delivered TSS Reductions and Costs"/>
    <hyperlink ref="D21" location="'36a'!A1" display="Septic Connection ― Critical Area"/>
    <hyperlink ref="D22" location="'36b'!A1" display="Septic Connection ― 1,000 feet of stream"/>
    <hyperlink ref="D23" location="'36c'!A1" display="Septic Connection ― other"/>
    <hyperlink ref="D8" location="'23'!A1" display="Nutrient Management"/>
    <hyperlink ref="D24" location="'37a'!A1" display="Septic Denitrification ― Critical Area"/>
    <hyperlink ref="D25" location="'37b'!A1" display="Septic Denitrification ― 1,000 feet of stream"/>
    <hyperlink ref="D26" location="'37c'!A1" display="Septic Denitrification ― other"/>
    <hyperlink ref="F3" location="'38a'!A1" display="Septic Pumping ― Critical Area"/>
    <hyperlink ref="F4" location="'38b'!A1" display="Septic Pumping ― 1,000 feet of stream"/>
    <hyperlink ref="F5" location="'38c'!A1" display="Septic Pumping ― other"/>
    <hyperlink ref="D7" location="'22'!A1" display="Non Urban Stream Restoration; Shoreline Erosion Control"/>
    <hyperlink ref="D9" location="'24'!A1" display="Off Stream Watering Without Fencing"/>
    <hyperlink ref="D10" location="'25'!A1" display="Stream Access Control with Fencing"/>
    <hyperlink ref="D11" location="'26'!A1" display="Poultry Litter Injection"/>
    <hyperlink ref="D12" location="'27'!A1" display="Poultry Phytase "/>
    <hyperlink ref="D13" location="'28'!A1" display="Prescribed Grazing"/>
    <hyperlink ref="D15" location="'30'!A1" display="Precision Intensive Rotational Grazing"/>
    <hyperlink ref="D16" location="'31'!A1" display="Water Control Structures"/>
    <hyperlink ref="D17" location="'32'!A1" display="Wetland Restoration"/>
    <hyperlink ref="D14" location="'29'!A1" display="Tree Planting; Vegetative Environmental Buffers ― Poultry"/>
    <hyperlink ref="D19" location="'34'!A1" display="Forest Harvesting Practices"/>
    <hyperlink ref="D20" location="'35'!A1" display="Set Permitted Load"/>
    <hyperlink ref="D18" location="'33'!A1" display="Manure Transport"/>
    <hyperlink ref="B22" location="'13'!A1" display="Enhanced Nutrient Management"/>
    <hyperlink ref="B20" location="'11'!A1" display="Decision Agriculture"/>
    <hyperlink ref="B12" location="'3'!A1" display="Barnyard Runoff Control"/>
    <hyperlink ref="B13" location="'4'!A1" display="Irrigation Water Capture Reuse"/>
    <hyperlink ref="B14" location="'5'!A1" display="Alternative Crops"/>
    <hyperlink ref="B18" location="'9'!A1" display="Cover Crop Standard Drilled Wheat"/>
    <hyperlink ref="B15" location="'6'!A1" display="Heavy Use Poultry Area Concrete Pads"/>
    <hyperlink ref="B16" location="'7'!A1" display="Soil Conservation and Water Quality Plans"/>
    <hyperlink ref="B10" location="'1'!A1" display="Poultry Litter Treatment (alum, for example)"/>
    <hyperlink ref="B11" location="'2'!A1" display="Animal Waste Management System"/>
    <hyperlink ref="B19" location="'10'!A1" display="Cropland Irrigation Management"/>
    <hyperlink ref="B21" location="'12'!A1" display="Sorbing Materials in Ag Ditches"/>
    <hyperlink ref="B23" location="'14'!A1" display="Forest Buffers"/>
    <hyperlink ref="B24" location="'15'!A1" display="Grass Buffers; Vegetated Open Channel - Agriculture"/>
    <hyperlink ref="B25" location="'16'!A1" display="Horse Pasture Management"/>
    <hyperlink ref="B26" location="'17'!A1" display="Land Retirement to hay without nutrients (HEL)"/>
    <hyperlink ref="D3" location="'18'!A1" display="Land Retirement to pasture (HEL)"/>
    <hyperlink ref="D4" location="'19'!A1" display="Dairy Manure Injection"/>
    <hyperlink ref="D5" location="'20'!A1" display="Loafing Lot Management"/>
    <hyperlink ref="D6" location="'21'!A1" display="Mortality Composters"/>
    <hyperlink ref="B17" location="'8'!A1" display="Conservation Tillage - Percent of Acres"/>
    <hyperlink ref="F14" location="'47'!A1" display="Urban Forest Buffers"/>
    <hyperlink ref="F6" location="'39'!A1" display="Abandoned Mine Reclamation"/>
    <hyperlink ref="F10" location="'43'!A1" display="Erosion and Sediment Control"/>
    <hyperlink ref="F11" location="'44'!A1" display="Erosion and Sediment Control on Extractive, excess applied to all other pervious urban"/>
    <hyperlink ref="F15" location="'48'!A1" display="Forest Conservation"/>
    <hyperlink ref="F16" location="'49'!A1" display="Impervious Urban Surface Reduction"/>
    <hyperlink ref="F24" location="'57'!A1" display="Urban Stream Restoration; Shoreline Erosion Control; Regenerative Stormwater Conveyance"/>
    <hyperlink ref="F23" location="'56'!A1" display="Urban Tree Planting; Urban Tree Canopy"/>
    <hyperlink ref="F22" location="'55'!A1" display="Urban Nutrient Management"/>
    <hyperlink ref="F7" location="'40'!A1" display="Bioretention/raingardens"/>
    <hyperlink ref="F8" location="'41'!A1" display="Bioswale"/>
    <hyperlink ref="F9" location="'42'!A1" display="Dry Detention Ponds and Hydrodynamic Structures"/>
    <hyperlink ref="F12" location="'45'!A1" display="Dry Extended Detention Ponds"/>
    <hyperlink ref="F13" location="'46'!A1" display="Urban Filtering Practices"/>
    <hyperlink ref="F17" location="'50'!A1" display="Urban Infiltration Practices - no sand\veg no under drain"/>
    <hyperlink ref="F18" location="'51'!A1" display="Urban Infiltration Practices - with sandveg no under drain"/>
    <hyperlink ref="F19" location="'52'!A1" display="Permeable Pavement w/ Sand, Veg. - A/B soils, underdrain"/>
    <hyperlink ref="F20" location="'53'!A1" display="MS4 Permit-Required Stormwater Retrofit"/>
    <hyperlink ref="F25" location="'58'!A1" display="Vegetated Open Channel - Urban"/>
    <hyperlink ref="F26" location="'59'!A1" display="Wet Ponds and Wetlands"/>
    <hyperlink ref="F21" location="'54'!A1" display="Street Sweeping 25 times a year-acres (formerly called Street Sweeping Mechanical Monthly)"/>
  </hyperlinks>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Sheet30"/>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Decision Agriculture</v>
      </c>
      <c r="I1" s="22"/>
      <c r="J1" s="37" t="s">
        <v>135</v>
      </c>
      <c r="K1" s="50">
        <v>11</v>
      </c>
      <c r="L1" s="22"/>
      <c r="M1" s="22"/>
      <c r="N1" s="22"/>
      <c r="O1" s="22"/>
      <c r="P1" s="22"/>
      <c r="Q1" s="22"/>
      <c r="R1" s="22"/>
    </row>
    <row r="2" spans="1:19" s="20" customFormat="1" ht="12.75" customHeight="1">
      <c r="D2" s="48" t="s">
        <v>3</v>
      </c>
      <c r="E2" s="19" t="str">
        <f>VLOOKUP($K$1,'BMP info'!A:G,4,FALSE)</f>
        <v>DecisionAg</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lu change
u/l treatment</v>
      </c>
      <c r="I4" s="23"/>
      <c r="K4" s="49"/>
      <c r="L4" s="23"/>
      <c r="M4" s="23"/>
      <c r="N4" s="23"/>
      <c r="O4" s="23"/>
      <c r="P4" s="23"/>
      <c r="Q4" s="23"/>
      <c r="R4" s="23"/>
      <c r="S4" s="23"/>
    </row>
    <row r="5" spans="1:19" s="20" customFormat="1">
      <c r="D5" s="48" t="s">
        <v>4</v>
      </c>
      <c r="E5" s="19" t="str">
        <f>VLOOKUP($K$1,'BMP info'!A:G,7,FALSE)</f>
        <v>P5.3.2</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167.73628938156361</v>
      </c>
      <c r="E13" s="29">
        <f t="shared" si="0"/>
        <v>11.668611435239207</v>
      </c>
      <c r="F13" s="51">
        <f t="shared" si="0"/>
        <v>291.71528588098016</v>
      </c>
      <c r="G13" s="305" t="s">
        <v>254</v>
      </c>
      <c r="H13" s="300"/>
      <c r="J13" s="24" t="s">
        <v>9</v>
      </c>
      <c r="K13" s="28">
        <f t="shared" ref="K13:M16" si="1">IF(K27*$D$34=0,"-",1000*K27/$D$34)</f>
        <v>99.912485414235704</v>
      </c>
      <c r="L13" s="29">
        <f t="shared" si="1"/>
        <v>11.668611435239207</v>
      </c>
      <c r="M13" s="51">
        <f t="shared" si="1"/>
        <v>291.71528588098016</v>
      </c>
      <c r="N13" s="305" t="s">
        <v>133</v>
      </c>
      <c r="O13" s="300"/>
    </row>
    <row r="14" spans="1:19">
      <c r="C14" s="24" t="s">
        <v>7</v>
      </c>
      <c r="D14" s="31">
        <f t="shared" si="0"/>
        <v>83.868144690781804</v>
      </c>
      <c r="E14" s="32">
        <f t="shared" si="0"/>
        <v>5.8343057176196034</v>
      </c>
      <c r="F14" s="52">
        <f t="shared" si="0"/>
        <v>145.85764294049008</v>
      </c>
      <c r="G14" s="301"/>
      <c r="H14" s="300"/>
      <c r="J14" s="24" t="s">
        <v>7</v>
      </c>
      <c r="K14" s="31">
        <f t="shared" si="1"/>
        <v>53.238039673278884</v>
      </c>
      <c r="L14" s="32">
        <f t="shared" si="1"/>
        <v>5.1050175029171534</v>
      </c>
      <c r="M14" s="52">
        <f t="shared" si="1"/>
        <v>145.85764294049008</v>
      </c>
      <c r="N14" s="301"/>
      <c r="O14" s="300"/>
    </row>
    <row r="15" spans="1:19">
      <c r="C15" s="24" t="s">
        <v>8</v>
      </c>
      <c r="D15" s="31">
        <f t="shared" si="0"/>
        <v>46.674445740956827</v>
      </c>
      <c r="E15" s="32">
        <f t="shared" si="0"/>
        <v>4.3757292882147025</v>
      </c>
      <c r="F15" s="52">
        <f t="shared" si="0"/>
        <v>145.85764294049008</v>
      </c>
      <c r="G15" s="301"/>
      <c r="H15" s="300"/>
      <c r="J15" s="24" t="s">
        <v>8</v>
      </c>
      <c r="K15" s="31">
        <f t="shared" si="1"/>
        <v>37.92298716452742</v>
      </c>
      <c r="L15" s="32">
        <f t="shared" si="1"/>
        <v>2.9171528588098017</v>
      </c>
      <c r="M15" s="52">
        <f t="shared" si="1"/>
        <v>145.85764294049008</v>
      </c>
      <c r="N15" s="301"/>
      <c r="O15" s="300"/>
    </row>
    <row r="16" spans="1:19" ht="13.5" thickBot="1">
      <c r="C16" s="24" t="s">
        <v>6</v>
      </c>
      <c r="D16" s="34">
        <f t="shared" si="0"/>
        <v>33.54725787631272</v>
      </c>
      <c r="E16" s="35">
        <f t="shared" si="0"/>
        <v>1.4585764294049008</v>
      </c>
      <c r="F16" s="53">
        <f t="shared" si="0"/>
        <v>72.92882147024504</v>
      </c>
      <c r="G16" s="301"/>
      <c r="H16" s="300"/>
      <c r="J16" s="24" t="s">
        <v>6</v>
      </c>
      <c r="K16" s="34">
        <f t="shared" si="1"/>
        <v>25.525087514585763</v>
      </c>
      <c r="L16" s="35">
        <f t="shared" si="1"/>
        <v>0.72928821470245042</v>
      </c>
      <c r="M16" s="53">
        <f t="shared" si="1"/>
        <v>72.92882147024504</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5.9617391304347827</v>
      </c>
      <c r="E20" s="29">
        <f t="shared" si="2"/>
        <v>85.7</v>
      </c>
      <c r="F20" s="51">
        <f t="shared" si="2"/>
        <v>3.4279999999999999</v>
      </c>
      <c r="G20" s="305" t="s">
        <v>253</v>
      </c>
      <c r="H20" s="300"/>
      <c r="J20" s="24" t="s">
        <v>9</v>
      </c>
      <c r="K20" s="28">
        <f t="shared" ref="K20:M23" si="3">IF(K27=0,"-",$D$34/K27)</f>
        <v>10.008759124087589</v>
      </c>
      <c r="L20" s="29">
        <f t="shared" si="3"/>
        <v>85.7</v>
      </c>
      <c r="M20" s="51">
        <f t="shared" si="3"/>
        <v>3.4279999999999999</v>
      </c>
      <c r="N20" s="305" t="s">
        <v>132</v>
      </c>
      <c r="O20" s="300"/>
    </row>
    <row r="21" spans="1:16">
      <c r="C21" s="24" t="s">
        <v>7</v>
      </c>
      <c r="D21" s="31">
        <f t="shared" si="2"/>
        <v>11.923478260869565</v>
      </c>
      <c r="E21" s="32">
        <f t="shared" si="2"/>
        <v>171.4</v>
      </c>
      <c r="F21" s="52">
        <f t="shared" si="2"/>
        <v>6.8559999999999999</v>
      </c>
      <c r="G21" s="301"/>
      <c r="H21" s="300"/>
      <c r="J21" s="24" t="s">
        <v>7</v>
      </c>
      <c r="K21" s="31">
        <f t="shared" si="3"/>
        <v>18.783561643835615</v>
      </c>
      <c r="L21" s="32">
        <f t="shared" si="3"/>
        <v>195.88571428571427</v>
      </c>
      <c r="M21" s="52">
        <f t="shared" si="3"/>
        <v>6.8559999999999999</v>
      </c>
      <c r="N21" s="301"/>
      <c r="O21" s="300"/>
    </row>
    <row r="22" spans="1:16">
      <c r="C22" s="24" t="s">
        <v>8</v>
      </c>
      <c r="D22" s="31">
        <f t="shared" si="2"/>
        <v>21.425000000000001</v>
      </c>
      <c r="E22" s="32">
        <f t="shared" si="2"/>
        <v>228.53333333333333</v>
      </c>
      <c r="F22" s="52">
        <f t="shared" si="2"/>
        <v>6.8559999999999999</v>
      </c>
      <c r="G22" s="301"/>
      <c r="H22" s="300"/>
      <c r="J22" s="24" t="s">
        <v>8</v>
      </c>
      <c r="K22" s="31">
        <f t="shared" si="3"/>
        <v>26.369230769230768</v>
      </c>
      <c r="L22" s="32">
        <f t="shared" si="3"/>
        <v>342.8</v>
      </c>
      <c r="M22" s="52">
        <f t="shared" si="3"/>
        <v>6.8559999999999999</v>
      </c>
      <c r="N22" s="301"/>
      <c r="O22" s="300"/>
    </row>
    <row r="23" spans="1:16" ht="13.5" thickBot="1">
      <c r="C23" s="24" t="s">
        <v>6</v>
      </c>
      <c r="D23" s="34">
        <f t="shared" si="2"/>
        <v>29.80869565217391</v>
      </c>
      <c r="E23" s="35">
        <f t="shared" si="2"/>
        <v>685.6</v>
      </c>
      <c r="F23" s="53">
        <f t="shared" si="2"/>
        <v>13.712</v>
      </c>
      <c r="G23" s="301"/>
      <c r="H23" s="300"/>
      <c r="J23" s="24" t="s">
        <v>6</v>
      </c>
      <c r="K23" s="34">
        <f t="shared" si="3"/>
        <v>39.177142857142861</v>
      </c>
      <c r="L23" s="35">
        <f t="shared" si="3"/>
        <v>1371.2</v>
      </c>
      <c r="M23" s="53">
        <f t="shared" si="3"/>
        <v>13.712</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2.2999999999999998</v>
      </c>
      <c r="E27" s="209">
        <v>0.16</v>
      </c>
      <c r="F27" s="210">
        <v>4</v>
      </c>
      <c r="G27" s="305" t="str">
        <f>"EOS pounds removed per '"&amp;E3&amp;"' of practice per year"</f>
        <v>EOS pounds removed per 'acre' of practice per year</v>
      </c>
      <c r="H27" s="300"/>
      <c r="J27" s="24" t="s">
        <v>9</v>
      </c>
      <c r="K27" s="56">
        <v>1.37</v>
      </c>
      <c r="L27" s="209">
        <v>0.16</v>
      </c>
      <c r="M27" s="210">
        <v>4</v>
      </c>
      <c r="N27" s="299" t="str">
        <f>"delivered pounds removed per '"&amp;E3&amp;"' of practice per year"</f>
        <v>delivered pounds removed per 'acre' of practice per year</v>
      </c>
      <c r="O27" s="300"/>
      <c r="P27" s="204"/>
    </row>
    <row r="28" spans="1:16">
      <c r="C28" s="24" t="s">
        <v>7</v>
      </c>
      <c r="D28" s="211">
        <v>1.1499999999999999</v>
      </c>
      <c r="E28" s="212">
        <v>0.08</v>
      </c>
      <c r="F28" s="213">
        <v>2</v>
      </c>
      <c r="G28" s="301"/>
      <c r="H28" s="300"/>
      <c r="J28" s="24" t="s">
        <v>7</v>
      </c>
      <c r="K28" s="57">
        <v>0.73</v>
      </c>
      <c r="L28" s="212">
        <v>7.0000000000000007E-2</v>
      </c>
      <c r="M28" s="213">
        <v>2</v>
      </c>
      <c r="N28" s="301"/>
      <c r="O28" s="300"/>
      <c r="P28" s="204"/>
    </row>
    <row r="29" spans="1:16">
      <c r="C29" s="24" t="s">
        <v>8</v>
      </c>
      <c r="D29" s="211">
        <v>0.64</v>
      </c>
      <c r="E29" s="212">
        <v>0.06</v>
      </c>
      <c r="F29" s="213">
        <v>2</v>
      </c>
      <c r="G29" s="301"/>
      <c r="H29" s="300"/>
      <c r="J29" s="24" t="s">
        <v>8</v>
      </c>
      <c r="K29" s="57">
        <v>0.52</v>
      </c>
      <c r="L29" s="212">
        <v>0.04</v>
      </c>
      <c r="M29" s="213">
        <v>2</v>
      </c>
      <c r="N29" s="301"/>
      <c r="O29" s="300"/>
      <c r="P29" s="204"/>
    </row>
    <row r="30" spans="1:16" ht="13.5" thickBot="1">
      <c r="C30" s="24" t="s">
        <v>6</v>
      </c>
      <c r="D30" s="214">
        <v>0.46</v>
      </c>
      <c r="E30" s="215">
        <v>0.02</v>
      </c>
      <c r="F30" s="216">
        <v>1</v>
      </c>
      <c r="G30" s="301"/>
      <c r="H30" s="300"/>
      <c r="J30" s="24" t="s">
        <v>6</v>
      </c>
      <c r="K30" s="58">
        <v>0.35</v>
      </c>
      <c r="L30" s="215">
        <v>0.01</v>
      </c>
      <c r="M30" s="216">
        <v>1</v>
      </c>
      <c r="N30" s="301"/>
      <c r="O30" s="300"/>
      <c r="P30" s="204"/>
    </row>
    <row r="31" spans="1:16" ht="13.5" thickBot="1"/>
    <row r="32" spans="1:16" s="42" customFormat="1">
      <c r="A32" s="86" t="s">
        <v>1</v>
      </c>
    </row>
    <row r="33" spans="1:12" ht="5.25" customHeight="1" thickBot="1"/>
    <row r="34" spans="1:12" ht="13.5" thickBot="1">
      <c r="C34" s="24" t="s">
        <v>11</v>
      </c>
      <c r="D34" s="46">
        <f>-PMT(D39,D38,D36)+D37</f>
        <v>13.712</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137.12</v>
      </c>
      <c r="E36" s="18" t="str">
        <f>"$ per '"&amp;E3&amp;"' of practice"</f>
        <v>$ per 'acre' of practice</v>
      </c>
      <c r="I36" s="78" t="s">
        <v>162</v>
      </c>
      <c r="J36" s="236">
        <v>0</v>
      </c>
      <c r="K36" s="235">
        <v>137.12</v>
      </c>
      <c r="L36" s="237">
        <f>AVERAGE(J36:K36)</f>
        <v>68.56</v>
      </c>
    </row>
    <row r="37" spans="1:12">
      <c r="C37" s="24" t="s">
        <v>12</v>
      </c>
      <c r="D37" s="39">
        <f>K37</f>
        <v>0</v>
      </c>
      <c r="E37" s="18" t="str">
        <f>"$ per '"&amp;E3&amp;"' of practice per year"</f>
        <v>$ per 'acre' of practice per year</v>
      </c>
      <c r="I37" s="78" t="s">
        <v>161</v>
      </c>
      <c r="J37" s="236">
        <v>18</v>
      </c>
      <c r="K37" s="235"/>
      <c r="L37" s="237">
        <f>AVERAGE(J37:K37)</f>
        <v>18</v>
      </c>
    </row>
    <row r="38" spans="1:12">
      <c r="C38" s="24" t="s">
        <v>13</v>
      </c>
      <c r="D38" s="249">
        <f>K38</f>
        <v>10</v>
      </c>
      <c r="E38" s="18" t="s">
        <v>15</v>
      </c>
      <c r="I38" s="78" t="s">
        <v>163</v>
      </c>
      <c r="J38" s="245">
        <v>1</v>
      </c>
      <c r="K38" s="244">
        <v>10</v>
      </c>
      <c r="L38" s="246"/>
    </row>
    <row r="39" spans="1:12" ht="13.5" thickBot="1">
      <c r="C39" s="24" t="s">
        <v>14</v>
      </c>
      <c r="D39" s="41">
        <f>Summary!C35</f>
        <v>0</v>
      </c>
      <c r="E39" s="18" t="s">
        <v>16</v>
      </c>
      <c r="I39" s="80" t="s">
        <v>166</v>
      </c>
      <c r="J39" s="239">
        <f>J37+(J36/J38)</f>
        <v>18</v>
      </c>
      <c r="K39" s="238">
        <f>K37</f>
        <v>0</v>
      </c>
      <c r="L39" s="240">
        <f>AVERAGE(J39:K39)</f>
        <v>9</v>
      </c>
    </row>
    <row r="40" spans="1:12">
      <c r="F40" s="234"/>
    </row>
    <row r="41" spans="1:12">
      <c r="I41" s="304" t="s">
        <v>227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sheetPr codeName="Sheet47"/>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Sorbing Materials in Ag Ditches</v>
      </c>
      <c r="I1" s="22"/>
      <c r="J1" s="37" t="s">
        <v>135</v>
      </c>
      <c r="K1" s="50">
        <v>12</v>
      </c>
      <c r="L1" s="22"/>
      <c r="M1" s="22"/>
      <c r="N1" s="22"/>
      <c r="O1" s="22"/>
      <c r="P1" s="22"/>
      <c r="Q1" s="22"/>
      <c r="R1" s="22"/>
    </row>
    <row r="2" spans="1:19" s="20" customFormat="1" ht="12.75" customHeight="1">
      <c r="D2" s="48" t="s">
        <v>3</v>
      </c>
      <c r="E2" s="19" t="str">
        <f>VLOOKUP($K$1,'BMP info'!A:G,4,FALSE)</f>
        <v>DitchFilter</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efficiency applied</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t="str">
        <f t="shared" ref="D13:F16" si="0">IF(D27*$D$34=0,"-",1000*D27/$D$34)</f>
        <v>-</v>
      </c>
      <c r="E13" s="29">
        <f t="shared" si="0"/>
        <v>6.88</v>
      </c>
      <c r="F13" s="51" t="str">
        <f t="shared" si="0"/>
        <v>-</v>
      </c>
      <c r="G13" s="305" t="s">
        <v>254</v>
      </c>
      <c r="H13" s="300"/>
      <c r="J13" s="24" t="s">
        <v>9</v>
      </c>
      <c r="K13" s="28" t="str">
        <f t="shared" ref="K13:M16" si="1">IF(K27*$D$34=0,"-",1000*K27/$D$34)</f>
        <v>-</v>
      </c>
      <c r="L13" s="29">
        <f t="shared" si="1"/>
        <v>6.64</v>
      </c>
      <c r="M13" s="51" t="str">
        <f t="shared" si="1"/>
        <v>-</v>
      </c>
      <c r="N13" s="305" t="s">
        <v>133</v>
      </c>
      <c r="O13" s="300"/>
    </row>
    <row r="14" spans="1:19">
      <c r="C14" s="24" t="s">
        <v>7</v>
      </c>
      <c r="D14" s="31" t="str">
        <f t="shared" si="0"/>
        <v>-</v>
      </c>
      <c r="E14" s="32">
        <f t="shared" si="0"/>
        <v>3.44</v>
      </c>
      <c r="F14" s="52" t="str">
        <f t="shared" si="0"/>
        <v>-</v>
      </c>
      <c r="G14" s="301"/>
      <c r="H14" s="300"/>
      <c r="J14" s="24" t="s">
        <v>7</v>
      </c>
      <c r="K14" s="31" t="str">
        <f t="shared" si="1"/>
        <v>-</v>
      </c>
      <c r="L14" s="32">
        <f t="shared" si="1"/>
        <v>3.2</v>
      </c>
      <c r="M14" s="52" t="str">
        <f t="shared" si="1"/>
        <v>-</v>
      </c>
      <c r="N14" s="301"/>
      <c r="O14" s="300"/>
    </row>
    <row r="15" spans="1:19">
      <c r="C15" s="24" t="s">
        <v>8</v>
      </c>
      <c r="D15" s="31" t="str">
        <f t="shared" si="0"/>
        <v>-</v>
      </c>
      <c r="E15" s="32">
        <f t="shared" si="0"/>
        <v>3.68</v>
      </c>
      <c r="F15" s="52" t="str">
        <f t="shared" si="0"/>
        <v>-</v>
      </c>
      <c r="G15" s="301"/>
      <c r="H15" s="300"/>
      <c r="J15" s="24" t="s">
        <v>8</v>
      </c>
      <c r="K15" s="31" t="str">
        <f t="shared" si="1"/>
        <v>-</v>
      </c>
      <c r="L15" s="32">
        <f t="shared" si="1"/>
        <v>3.12</v>
      </c>
      <c r="M15" s="52" t="str">
        <f t="shared" si="1"/>
        <v>-</v>
      </c>
      <c r="N15" s="301"/>
      <c r="O15" s="300"/>
    </row>
    <row r="16" spans="1:19" ht="13.5" thickBot="1">
      <c r="C16" s="24" t="s">
        <v>6</v>
      </c>
      <c r="D16" s="34" t="str">
        <f t="shared" si="0"/>
        <v>-</v>
      </c>
      <c r="E16" s="35">
        <f t="shared" si="0"/>
        <v>1.2</v>
      </c>
      <c r="F16" s="53" t="str">
        <f t="shared" si="0"/>
        <v>-</v>
      </c>
      <c r="G16" s="301"/>
      <c r="H16" s="300"/>
      <c r="J16" s="24" t="s">
        <v>6</v>
      </c>
      <c r="K16" s="34" t="str">
        <f t="shared" si="1"/>
        <v>-</v>
      </c>
      <c r="L16" s="35">
        <f t="shared" si="1"/>
        <v>1.2</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t="str">
        <f t="shared" ref="D20:F23" si="2">IF(D27=0,"-",$D$34/D27)</f>
        <v>-</v>
      </c>
      <c r="E20" s="29">
        <f t="shared" si="2"/>
        <v>145.34883720930233</v>
      </c>
      <c r="F20" s="51" t="str">
        <f t="shared" si="2"/>
        <v>-</v>
      </c>
      <c r="G20" s="305" t="s">
        <v>253</v>
      </c>
      <c r="H20" s="300"/>
      <c r="J20" s="24" t="s">
        <v>9</v>
      </c>
      <c r="K20" s="28" t="str">
        <f t="shared" ref="K20:M23" si="3">IF(K27=0,"-",$D$34/K27)</f>
        <v>-</v>
      </c>
      <c r="L20" s="29">
        <f t="shared" si="3"/>
        <v>150.60240963855424</v>
      </c>
      <c r="M20" s="51" t="str">
        <f t="shared" si="3"/>
        <v>-</v>
      </c>
      <c r="N20" s="305" t="s">
        <v>132</v>
      </c>
      <c r="O20" s="300"/>
    </row>
    <row r="21" spans="1:16">
      <c r="C21" s="24" t="s">
        <v>7</v>
      </c>
      <c r="D21" s="31" t="str">
        <f t="shared" si="2"/>
        <v>-</v>
      </c>
      <c r="E21" s="32">
        <f t="shared" si="2"/>
        <v>290.69767441860466</v>
      </c>
      <c r="F21" s="52" t="str">
        <f t="shared" si="2"/>
        <v>-</v>
      </c>
      <c r="G21" s="301"/>
      <c r="H21" s="300"/>
      <c r="J21" s="24" t="s">
        <v>7</v>
      </c>
      <c r="K21" s="31" t="str">
        <f t="shared" si="3"/>
        <v>-</v>
      </c>
      <c r="L21" s="32">
        <f t="shared" si="3"/>
        <v>312.5</v>
      </c>
      <c r="M21" s="52" t="str">
        <f t="shared" si="3"/>
        <v>-</v>
      </c>
      <c r="N21" s="301"/>
      <c r="O21" s="300"/>
    </row>
    <row r="22" spans="1:16">
      <c r="C22" s="24" t="s">
        <v>8</v>
      </c>
      <c r="D22" s="31" t="str">
        <f t="shared" si="2"/>
        <v>-</v>
      </c>
      <c r="E22" s="32">
        <f t="shared" si="2"/>
        <v>271.73913043478262</v>
      </c>
      <c r="F22" s="52" t="str">
        <f t="shared" si="2"/>
        <v>-</v>
      </c>
      <c r="G22" s="301"/>
      <c r="H22" s="300"/>
      <c r="J22" s="24" t="s">
        <v>8</v>
      </c>
      <c r="K22" s="31" t="str">
        <f t="shared" si="3"/>
        <v>-</v>
      </c>
      <c r="L22" s="32">
        <f t="shared" si="3"/>
        <v>320.5128205128205</v>
      </c>
      <c r="M22" s="52" t="str">
        <f t="shared" si="3"/>
        <v>-</v>
      </c>
      <c r="N22" s="301"/>
      <c r="O22" s="300"/>
    </row>
    <row r="23" spans="1:16" ht="13.5" thickBot="1">
      <c r="C23" s="24" t="s">
        <v>6</v>
      </c>
      <c r="D23" s="34" t="str">
        <f t="shared" si="2"/>
        <v>-</v>
      </c>
      <c r="E23" s="35">
        <f t="shared" si="2"/>
        <v>833.33333333333337</v>
      </c>
      <c r="F23" s="53" t="str">
        <f t="shared" si="2"/>
        <v>-</v>
      </c>
      <c r="G23" s="301"/>
      <c r="H23" s="300"/>
      <c r="J23" s="24" t="s">
        <v>6</v>
      </c>
      <c r="K23" s="34" t="str">
        <f t="shared" si="3"/>
        <v>-</v>
      </c>
      <c r="L23" s="35">
        <f t="shared" si="3"/>
        <v>833.33333333333337</v>
      </c>
      <c r="M23" s="53" t="str">
        <f t="shared" si="3"/>
        <v>-</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0</v>
      </c>
      <c r="E27" s="209">
        <v>0.86</v>
      </c>
      <c r="F27" s="210">
        <v>0</v>
      </c>
      <c r="G27" s="305" t="str">
        <f>"EOS pounds removed per '"&amp;E3&amp;"' of practice per year"</f>
        <v>EOS pounds removed per 'acre' of practice per year</v>
      </c>
      <c r="H27" s="300"/>
      <c r="J27" s="24" t="s">
        <v>9</v>
      </c>
      <c r="K27" s="56">
        <v>0</v>
      </c>
      <c r="L27" s="209">
        <v>0.83</v>
      </c>
      <c r="M27" s="210">
        <v>0</v>
      </c>
      <c r="N27" s="299" t="str">
        <f>"delivered pounds removed per '"&amp;E3&amp;"' of practice per year"</f>
        <v>delivered pounds removed per 'acre' of practice per year</v>
      </c>
      <c r="O27" s="300"/>
      <c r="P27" s="204"/>
    </row>
    <row r="28" spans="1:16">
      <c r="C28" s="24" t="s">
        <v>7</v>
      </c>
      <c r="D28" s="211">
        <v>0</v>
      </c>
      <c r="E28" s="212">
        <v>0.43</v>
      </c>
      <c r="F28" s="213">
        <v>0</v>
      </c>
      <c r="G28" s="301"/>
      <c r="H28" s="300"/>
      <c r="J28" s="24" t="s">
        <v>7</v>
      </c>
      <c r="K28" s="57">
        <v>0</v>
      </c>
      <c r="L28" s="212">
        <v>0.4</v>
      </c>
      <c r="M28" s="213">
        <v>0</v>
      </c>
      <c r="N28" s="301"/>
      <c r="O28" s="300"/>
      <c r="P28" s="204"/>
    </row>
    <row r="29" spans="1:16">
      <c r="C29" s="24" t="s">
        <v>8</v>
      </c>
      <c r="D29" s="211">
        <v>0</v>
      </c>
      <c r="E29" s="212">
        <v>0.46</v>
      </c>
      <c r="F29" s="213">
        <v>0</v>
      </c>
      <c r="G29" s="301"/>
      <c r="H29" s="300"/>
      <c r="J29" s="24" t="s">
        <v>8</v>
      </c>
      <c r="K29" s="57">
        <v>0</v>
      </c>
      <c r="L29" s="212">
        <v>0.39</v>
      </c>
      <c r="M29" s="213">
        <v>0</v>
      </c>
      <c r="N29" s="301"/>
      <c r="O29" s="300"/>
      <c r="P29" s="204"/>
    </row>
    <row r="30" spans="1:16" ht="13.5" thickBot="1">
      <c r="C30" s="24" t="s">
        <v>6</v>
      </c>
      <c r="D30" s="214">
        <v>0</v>
      </c>
      <c r="E30" s="215">
        <v>0.15</v>
      </c>
      <c r="F30" s="216">
        <v>0</v>
      </c>
      <c r="G30" s="301"/>
      <c r="H30" s="300"/>
      <c r="J30" s="24" t="s">
        <v>6</v>
      </c>
      <c r="K30" s="58">
        <v>0</v>
      </c>
      <c r="L30" s="215">
        <v>0.15</v>
      </c>
      <c r="M30" s="216">
        <v>0</v>
      </c>
      <c r="N30" s="301"/>
      <c r="O30" s="300"/>
      <c r="P30" s="204"/>
    </row>
    <row r="31" spans="1:16" ht="13.5" thickBot="1"/>
    <row r="32" spans="1:16" s="42" customFormat="1">
      <c r="A32" s="86" t="s">
        <v>1</v>
      </c>
    </row>
    <row r="33" spans="1:12" ht="5.25" customHeight="1" thickBot="1"/>
    <row r="34" spans="1:12" ht="13.5" thickBot="1">
      <c r="C34" s="24" t="s">
        <v>11</v>
      </c>
      <c r="D34" s="46">
        <f>-PMT(D39,D38,D36)+D37</f>
        <v>125</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625</v>
      </c>
      <c r="E36" s="18" t="str">
        <f>"$ per '"&amp;E3&amp;"' of practice"</f>
        <v>$ per 'acre' of practice</v>
      </c>
      <c r="I36" s="78" t="s">
        <v>162</v>
      </c>
      <c r="J36" s="236">
        <v>0</v>
      </c>
      <c r="K36" s="235">
        <v>625</v>
      </c>
      <c r="L36" s="237">
        <f>K36</f>
        <v>625</v>
      </c>
    </row>
    <row r="37" spans="1:12">
      <c r="C37" s="24" t="s">
        <v>12</v>
      </c>
      <c r="D37" s="39">
        <f>L37</f>
        <v>0</v>
      </c>
      <c r="E37" s="18" t="str">
        <f>"$ per '"&amp;E3&amp;"' of practice per year"</f>
        <v>$ per 'acre' of practice per year</v>
      </c>
      <c r="I37" s="78" t="s">
        <v>161</v>
      </c>
      <c r="J37" s="236">
        <v>0</v>
      </c>
      <c r="K37" s="235"/>
      <c r="L37" s="237">
        <f>K37</f>
        <v>0</v>
      </c>
    </row>
    <row r="38" spans="1:12">
      <c r="C38" s="24" t="s">
        <v>13</v>
      </c>
      <c r="D38" s="249">
        <f>K38</f>
        <v>5</v>
      </c>
      <c r="E38" s="18" t="s">
        <v>15</v>
      </c>
      <c r="I38" s="78" t="s">
        <v>163</v>
      </c>
      <c r="J38" s="245">
        <v>1</v>
      </c>
      <c r="K38" s="244">
        <v>5</v>
      </c>
      <c r="L38" s="246"/>
    </row>
    <row r="39" spans="1:12" ht="13.5" thickBot="1">
      <c r="C39" s="24" t="s">
        <v>14</v>
      </c>
      <c r="D39" s="41">
        <f>Summary!C35</f>
        <v>0</v>
      </c>
      <c r="E39" s="18" t="s">
        <v>16</v>
      </c>
      <c r="I39" s="80" t="s">
        <v>166</v>
      </c>
      <c r="J39" s="239">
        <f>J37+(J36/J38)</f>
        <v>0</v>
      </c>
      <c r="K39" s="238">
        <f>K37</f>
        <v>0</v>
      </c>
      <c r="L39" s="240">
        <f>K39</f>
        <v>0</v>
      </c>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sheetPr codeName="Sheet29"/>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Enhanced Nutrient Management</v>
      </c>
      <c r="I1" s="22"/>
      <c r="J1" s="37" t="s">
        <v>135</v>
      </c>
      <c r="K1" s="50">
        <v>13</v>
      </c>
      <c r="L1" s="22"/>
      <c r="M1" s="22"/>
      <c r="N1" s="22"/>
      <c r="O1" s="22"/>
      <c r="P1" s="22"/>
      <c r="Q1" s="22"/>
      <c r="R1" s="22"/>
    </row>
    <row r="2" spans="1:19" s="20" customFormat="1" ht="12.75" customHeight="1">
      <c r="D2" s="48" t="s">
        <v>3</v>
      </c>
      <c r="E2" s="19" t="str">
        <f>VLOOKUP($K$1,'BMP info'!A:G,4,FALSE)</f>
        <v>EnhancedNM</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lu change
u/l treatment</v>
      </c>
      <c r="I4" s="23"/>
      <c r="K4" s="49"/>
      <c r="L4" s="23"/>
      <c r="M4" s="23"/>
      <c r="N4" s="23"/>
      <c r="O4" s="23"/>
      <c r="P4" s="23"/>
      <c r="Q4" s="23"/>
      <c r="R4" s="23"/>
      <c r="S4" s="23"/>
    </row>
    <row r="5" spans="1:19" s="20" customFormat="1">
      <c r="D5" s="48" t="s">
        <v>4</v>
      </c>
      <c r="E5" s="19" t="str">
        <f>VLOOKUP($K$1,'BMP info'!A:G,7,FALSE)</f>
        <v>P5.3.2</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342</v>
      </c>
      <c r="E13" s="29">
        <f t="shared" si="0"/>
        <v>17</v>
      </c>
      <c r="F13" s="51">
        <f t="shared" si="0"/>
        <v>400</v>
      </c>
      <c r="G13" s="305" t="s">
        <v>254</v>
      </c>
      <c r="H13" s="300"/>
      <c r="J13" s="24" t="s">
        <v>9</v>
      </c>
      <c r="K13" s="28">
        <f t="shared" ref="K13:M16" si="1">IF(K27*$D$34=0,"-",1000*K27/$D$34)</f>
        <v>210</v>
      </c>
      <c r="L13" s="29">
        <f t="shared" si="1"/>
        <v>17</v>
      </c>
      <c r="M13" s="51">
        <f t="shared" si="1"/>
        <v>400</v>
      </c>
      <c r="N13" s="305" t="s">
        <v>133</v>
      </c>
      <c r="O13" s="300"/>
    </row>
    <row r="14" spans="1:19">
      <c r="C14" s="24" t="s">
        <v>7</v>
      </c>
      <c r="D14" s="31">
        <f t="shared" si="0"/>
        <v>176</v>
      </c>
      <c r="E14" s="32">
        <f t="shared" si="0"/>
        <v>8</v>
      </c>
      <c r="F14" s="52">
        <f t="shared" si="0"/>
        <v>200</v>
      </c>
      <c r="G14" s="301"/>
      <c r="H14" s="300"/>
      <c r="J14" s="24" t="s">
        <v>7</v>
      </c>
      <c r="K14" s="31">
        <f t="shared" si="1"/>
        <v>112</v>
      </c>
      <c r="L14" s="32">
        <f t="shared" si="1"/>
        <v>7</v>
      </c>
      <c r="M14" s="52">
        <f t="shared" si="1"/>
        <v>200</v>
      </c>
      <c r="N14" s="301"/>
      <c r="O14" s="300"/>
    </row>
    <row r="15" spans="1:19">
      <c r="C15" s="24" t="s">
        <v>8</v>
      </c>
      <c r="D15" s="31">
        <f t="shared" si="0"/>
        <v>114</v>
      </c>
      <c r="E15" s="32">
        <f t="shared" si="0"/>
        <v>6</v>
      </c>
      <c r="F15" s="52">
        <f t="shared" si="0"/>
        <v>200</v>
      </c>
      <c r="G15" s="301"/>
      <c r="H15" s="300"/>
      <c r="J15" s="24" t="s">
        <v>8</v>
      </c>
      <c r="K15" s="31">
        <f t="shared" si="1"/>
        <v>89</v>
      </c>
      <c r="L15" s="32">
        <f t="shared" si="1"/>
        <v>4</v>
      </c>
      <c r="M15" s="52">
        <f t="shared" si="1"/>
        <v>200</v>
      </c>
      <c r="N15" s="301"/>
      <c r="O15" s="300"/>
    </row>
    <row r="16" spans="1:19" ht="13.5" thickBot="1">
      <c r="C16" s="24" t="s">
        <v>6</v>
      </c>
      <c r="D16" s="34">
        <f t="shared" si="0"/>
        <v>77</v>
      </c>
      <c r="E16" s="35">
        <f t="shared" si="0"/>
        <v>2</v>
      </c>
      <c r="F16" s="53">
        <f t="shared" si="0"/>
        <v>100</v>
      </c>
      <c r="G16" s="301"/>
      <c r="H16" s="300"/>
      <c r="J16" s="24" t="s">
        <v>6</v>
      </c>
      <c r="K16" s="34">
        <f t="shared" si="1"/>
        <v>56</v>
      </c>
      <c r="L16" s="35">
        <f t="shared" si="1"/>
        <v>1</v>
      </c>
      <c r="M16" s="53">
        <f t="shared" si="1"/>
        <v>100</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2.9239766081871346</v>
      </c>
      <c r="E20" s="29">
        <f t="shared" si="2"/>
        <v>58.823529411764703</v>
      </c>
      <c r="F20" s="51">
        <f t="shared" si="2"/>
        <v>2.5</v>
      </c>
      <c r="G20" s="305" t="s">
        <v>253</v>
      </c>
      <c r="H20" s="300"/>
      <c r="J20" s="24" t="s">
        <v>9</v>
      </c>
      <c r="K20" s="28">
        <f t="shared" ref="K20:M23" si="3">IF(K27=0,"-",$D$34/K27)</f>
        <v>4.7619047619047619</v>
      </c>
      <c r="L20" s="29">
        <f t="shared" si="3"/>
        <v>58.823529411764703</v>
      </c>
      <c r="M20" s="51">
        <f t="shared" si="3"/>
        <v>2.5</v>
      </c>
      <c r="N20" s="305" t="s">
        <v>132</v>
      </c>
      <c r="O20" s="300"/>
    </row>
    <row r="21" spans="1:16">
      <c r="C21" s="24" t="s">
        <v>7</v>
      </c>
      <c r="D21" s="31">
        <f t="shared" si="2"/>
        <v>5.6818181818181817</v>
      </c>
      <c r="E21" s="32">
        <f t="shared" si="2"/>
        <v>125</v>
      </c>
      <c r="F21" s="52">
        <f t="shared" si="2"/>
        <v>5</v>
      </c>
      <c r="G21" s="301"/>
      <c r="H21" s="300"/>
      <c r="J21" s="24" t="s">
        <v>7</v>
      </c>
      <c r="K21" s="31">
        <f t="shared" si="3"/>
        <v>8.928571428571427</v>
      </c>
      <c r="L21" s="32">
        <f t="shared" si="3"/>
        <v>142.85714285714283</v>
      </c>
      <c r="M21" s="52">
        <f t="shared" si="3"/>
        <v>5</v>
      </c>
      <c r="N21" s="301"/>
      <c r="O21" s="300"/>
    </row>
    <row r="22" spans="1:16">
      <c r="C22" s="24" t="s">
        <v>8</v>
      </c>
      <c r="D22" s="31">
        <f t="shared" si="2"/>
        <v>8.7719298245614041</v>
      </c>
      <c r="E22" s="32">
        <f t="shared" si="2"/>
        <v>166.66666666666669</v>
      </c>
      <c r="F22" s="52">
        <f t="shared" si="2"/>
        <v>5</v>
      </c>
      <c r="G22" s="301"/>
      <c r="H22" s="300"/>
      <c r="J22" s="24" t="s">
        <v>8</v>
      </c>
      <c r="K22" s="31">
        <f t="shared" si="3"/>
        <v>11.235955056179774</v>
      </c>
      <c r="L22" s="32">
        <f t="shared" si="3"/>
        <v>250</v>
      </c>
      <c r="M22" s="52">
        <f t="shared" si="3"/>
        <v>5</v>
      </c>
      <c r="N22" s="301"/>
      <c r="O22" s="300"/>
    </row>
    <row r="23" spans="1:16" ht="13.5" thickBot="1">
      <c r="C23" s="24" t="s">
        <v>6</v>
      </c>
      <c r="D23" s="34">
        <f t="shared" si="2"/>
        <v>12.987012987012987</v>
      </c>
      <c r="E23" s="35">
        <f t="shared" si="2"/>
        <v>500</v>
      </c>
      <c r="F23" s="53">
        <f t="shared" si="2"/>
        <v>10</v>
      </c>
      <c r="G23" s="301"/>
      <c r="H23" s="300"/>
      <c r="J23" s="24" t="s">
        <v>6</v>
      </c>
      <c r="K23" s="34">
        <f t="shared" si="3"/>
        <v>17.857142857142854</v>
      </c>
      <c r="L23" s="35">
        <f t="shared" si="3"/>
        <v>1000</v>
      </c>
      <c r="M23" s="53">
        <f t="shared" si="3"/>
        <v>10</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3.42</v>
      </c>
      <c r="E27" s="209">
        <v>0.17</v>
      </c>
      <c r="F27" s="210">
        <v>4</v>
      </c>
      <c r="G27" s="305" t="str">
        <f>"EOS pounds removed per '"&amp;E3&amp;"' of practice per year"</f>
        <v>EOS pounds removed per 'acre' of practice per year</v>
      </c>
      <c r="H27" s="300"/>
      <c r="J27" s="24" t="s">
        <v>9</v>
      </c>
      <c r="K27" s="56">
        <v>2.1</v>
      </c>
      <c r="L27" s="209">
        <v>0.17</v>
      </c>
      <c r="M27" s="210">
        <v>4</v>
      </c>
      <c r="N27" s="299" t="str">
        <f>"delivered pounds removed per '"&amp;E3&amp;"' of practice per year"</f>
        <v>delivered pounds removed per 'acre' of practice per year</v>
      </c>
      <c r="O27" s="300"/>
      <c r="P27" s="204"/>
    </row>
    <row r="28" spans="1:16">
      <c r="C28" s="24" t="s">
        <v>7</v>
      </c>
      <c r="D28" s="211">
        <v>1.76</v>
      </c>
      <c r="E28" s="212">
        <v>0.08</v>
      </c>
      <c r="F28" s="213">
        <v>2</v>
      </c>
      <c r="G28" s="301"/>
      <c r="H28" s="300"/>
      <c r="J28" s="24" t="s">
        <v>7</v>
      </c>
      <c r="K28" s="57">
        <v>1.1200000000000001</v>
      </c>
      <c r="L28" s="212">
        <v>7.0000000000000007E-2</v>
      </c>
      <c r="M28" s="213">
        <v>2</v>
      </c>
      <c r="N28" s="301"/>
      <c r="O28" s="300"/>
      <c r="P28" s="204"/>
    </row>
    <row r="29" spans="1:16">
      <c r="C29" s="24" t="s">
        <v>8</v>
      </c>
      <c r="D29" s="211">
        <v>1.1399999999999999</v>
      </c>
      <c r="E29" s="212">
        <v>0.06</v>
      </c>
      <c r="F29" s="213">
        <v>2</v>
      </c>
      <c r="G29" s="301"/>
      <c r="H29" s="300"/>
      <c r="J29" s="24" t="s">
        <v>8</v>
      </c>
      <c r="K29" s="57">
        <v>0.89</v>
      </c>
      <c r="L29" s="212">
        <v>0.04</v>
      </c>
      <c r="M29" s="213">
        <v>2</v>
      </c>
      <c r="N29" s="301"/>
      <c r="O29" s="300"/>
      <c r="P29" s="204"/>
    </row>
    <row r="30" spans="1:16" ht="13.5" thickBot="1">
      <c r="C30" s="24" t="s">
        <v>6</v>
      </c>
      <c r="D30" s="214">
        <v>0.77</v>
      </c>
      <c r="E30" s="215">
        <v>0.02</v>
      </c>
      <c r="F30" s="216">
        <v>1</v>
      </c>
      <c r="G30" s="301"/>
      <c r="H30" s="300"/>
      <c r="J30" s="24" t="s">
        <v>6</v>
      </c>
      <c r="K30" s="58">
        <v>0.56000000000000005</v>
      </c>
      <c r="L30" s="215">
        <v>0.01</v>
      </c>
      <c r="M30" s="216">
        <v>1</v>
      </c>
      <c r="N30" s="301"/>
      <c r="O30" s="300"/>
      <c r="P30" s="204"/>
    </row>
    <row r="31" spans="1:16" ht="13.5" thickBot="1"/>
    <row r="32" spans="1:16" s="42" customFormat="1">
      <c r="A32" s="86" t="s">
        <v>1</v>
      </c>
    </row>
    <row r="33" spans="1:12" ht="5.25" customHeight="1" thickBot="1"/>
    <row r="34" spans="1:12" ht="13.5" thickBot="1">
      <c r="C34" s="24" t="s">
        <v>11</v>
      </c>
      <c r="D34" s="46">
        <f>-PMT(D39,D38,D36)+D37</f>
        <v>10</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L36</f>
        <v>0</v>
      </c>
      <c r="E36" s="18" t="str">
        <f>"$ per '"&amp;E3&amp;"' of practice"</f>
        <v>$ per 'acre' of practice</v>
      </c>
      <c r="I36" s="78" t="s">
        <v>162</v>
      </c>
      <c r="J36" s="236">
        <v>0</v>
      </c>
      <c r="K36" s="235">
        <v>0</v>
      </c>
      <c r="L36" s="237">
        <f>AVERAGE(J36:K36)</f>
        <v>0</v>
      </c>
    </row>
    <row r="37" spans="1:12">
      <c r="C37" s="24" t="s">
        <v>12</v>
      </c>
      <c r="D37" s="39">
        <f>K37</f>
        <v>10</v>
      </c>
      <c r="E37" s="18" t="str">
        <f>"$ per '"&amp;E3&amp;"' of practice per year"</f>
        <v>$ per 'acre' of practice per year</v>
      </c>
      <c r="I37" s="78" t="s">
        <v>161</v>
      </c>
      <c r="J37" s="236">
        <v>37</v>
      </c>
      <c r="K37" s="235">
        <v>10</v>
      </c>
      <c r="L37" s="237">
        <f>AVERAGE(J37:K37)</f>
        <v>23.5</v>
      </c>
    </row>
    <row r="38" spans="1:12">
      <c r="C38" s="24" t="s">
        <v>13</v>
      </c>
      <c r="D38" s="40">
        <f>L38</f>
        <v>1</v>
      </c>
      <c r="E38" s="18" t="s">
        <v>15</v>
      </c>
      <c r="I38" s="78" t="s">
        <v>163</v>
      </c>
      <c r="J38" s="245">
        <v>1</v>
      </c>
      <c r="K38" s="244">
        <v>1</v>
      </c>
      <c r="L38" s="246">
        <v>1</v>
      </c>
    </row>
    <row r="39" spans="1:12" ht="13.5" thickBot="1">
      <c r="C39" s="24" t="s">
        <v>14</v>
      </c>
      <c r="D39" s="41">
        <f>Summary!C35</f>
        <v>0</v>
      </c>
      <c r="E39" s="18" t="s">
        <v>16</v>
      </c>
      <c r="I39" s="80" t="s">
        <v>166</v>
      </c>
      <c r="J39" s="239">
        <f>J37+(J36/J38)</f>
        <v>37</v>
      </c>
      <c r="K39" s="238">
        <f>K37</f>
        <v>10</v>
      </c>
      <c r="L39" s="240">
        <f>AVERAGE(J39:K39)</f>
        <v>23.5</v>
      </c>
    </row>
    <row r="40" spans="1:12">
      <c r="F40" s="234"/>
    </row>
    <row r="41" spans="1:12">
      <c r="I41" s="304" t="s">
        <v>227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sheetPr codeName="Sheet59"/>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1" width="10" style="17" bestFit="1" customWidth="1"/>
    <col min="12" max="12" width="9.28515625" style="17" bestFit="1" customWidth="1"/>
    <col min="13" max="16384" width="9.140625" style="17"/>
  </cols>
  <sheetData>
    <row r="1" spans="1:19" s="20" customFormat="1" ht="21" customHeight="1">
      <c r="A1" s="302" t="s">
        <v>136</v>
      </c>
      <c r="B1" s="303"/>
      <c r="D1" s="25" t="s">
        <v>134</v>
      </c>
      <c r="E1" s="89" t="str">
        <f>VLOOKUP($K$1,'BMP info'!A:G,3,FALSE)</f>
        <v>Forest Buffers</v>
      </c>
      <c r="I1" s="22"/>
      <c r="J1" s="37" t="s">
        <v>135</v>
      </c>
      <c r="K1" s="50">
        <v>14</v>
      </c>
      <c r="L1" s="22"/>
      <c r="M1" s="22"/>
      <c r="N1" s="22"/>
      <c r="O1" s="22"/>
      <c r="P1" s="22"/>
      <c r="Q1" s="22"/>
      <c r="R1" s="22"/>
    </row>
    <row r="2" spans="1:19" s="20" customFormat="1" ht="12.75" customHeight="1">
      <c r="D2" s="48" t="s">
        <v>3</v>
      </c>
      <c r="E2" s="19" t="str">
        <f>VLOOKUP($K$1,'BMP info'!A:G,4,FALSE)</f>
        <v>ForestBuffers</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lu change
u/l treatment</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244.8441926345609</v>
      </c>
      <c r="E13" s="29">
        <f t="shared" si="0"/>
        <v>10.453257790368271</v>
      </c>
      <c r="F13" s="51">
        <f t="shared" si="0"/>
        <v>8249.2917847025492</v>
      </c>
      <c r="G13" s="305" t="s">
        <v>254</v>
      </c>
      <c r="H13" s="300"/>
      <c r="J13" s="24" t="s">
        <v>9</v>
      </c>
      <c r="K13" s="28">
        <f t="shared" ref="K13:M16" si="1">IF(K27*$D$34=0,"-",1000*K27/$D$34)</f>
        <v>212.09631728045326</v>
      </c>
      <c r="L13" s="29">
        <f t="shared" si="1"/>
        <v>10.453257790368271</v>
      </c>
      <c r="M13" s="51">
        <f t="shared" si="1"/>
        <v>6359.7733711048159</v>
      </c>
      <c r="N13" s="305" t="s">
        <v>133</v>
      </c>
      <c r="O13" s="300"/>
    </row>
    <row r="14" spans="1:19">
      <c r="C14" s="24" t="s">
        <v>7</v>
      </c>
      <c r="D14" s="31">
        <f t="shared" si="0"/>
        <v>147.53541076487252</v>
      </c>
      <c r="E14" s="32">
        <f t="shared" si="0"/>
        <v>5.8640226628895187</v>
      </c>
      <c r="F14" s="52">
        <f t="shared" si="0"/>
        <v>3405.0991501416429</v>
      </c>
      <c r="G14" s="301"/>
      <c r="H14" s="300"/>
      <c r="J14" s="24" t="s">
        <v>7</v>
      </c>
      <c r="K14" s="31">
        <f t="shared" si="1"/>
        <v>96.62889518413597</v>
      </c>
      <c r="L14" s="32">
        <f t="shared" si="1"/>
        <v>4.2776203966005664</v>
      </c>
      <c r="M14" s="52">
        <f t="shared" si="1"/>
        <v>2464.5892351274788</v>
      </c>
      <c r="N14" s="301"/>
      <c r="O14" s="300"/>
    </row>
    <row r="15" spans="1:19">
      <c r="C15" s="24" t="s">
        <v>8</v>
      </c>
      <c r="D15" s="31">
        <f t="shared" si="0"/>
        <v>154.58923512747876</v>
      </c>
      <c r="E15" s="32">
        <f t="shared" si="0"/>
        <v>5.2691218130311617</v>
      </c>
      <c r="F15" s="52">
        <f t="shared" si="0"/>
        <v>1747.8753541076487</v>
      </c>
      <c r="G15" s="301"/>
      <c r="H15" s="300"/>
      <c r="J15" s="24" t="s">
        <v>8</v>
      </c>
      <c r="K15" s="31">
        <f t="shared" si="1"/>
        <v>83.569405099150146</v>
      </c>
      <c r="L15" s="32">
        <f t="shared" si="1"/>
        <v>3.4560906515580738</v>
      </c>
      <c r="M15" s="52">
        <f t="shared" si="1"/>
        <v>1283.2861189801699</v>
      </c>
      <c r="N15" s="301"/>
      <c r="O15" s="300"/>
    </row>
    <row r="16" spans="1:19" ht="13.5" thickBot="1">
      <c r="C16" s="24" t="s">
        <v>6</v>
      </c>
      <c r="D16" s="34">
        <f t="shared" si="0"/>
        <v>65.75070821529745</v>
      </c>
      <c r="E16" s="35">
        <f t="shared" si="0"/>
        <v>1.8413597733711049</v>
      </c>
      <c r="F16" s="53">
        <f t="shared" si="0"/>
        <v>450.42492917847028</v>
      </c>
      <c r="G16" s="301"/>
      <c r="H16" s="300"/>
      <c r="J16" s="24" t="s">
        <v>6</v>
      </c>
      <c r="K16" s="34">
        <f t="shared" si="1"/>
        <v>30.028328611898019</v>
      </c>
      <c r="L16" s="35">
        <f t="shared" si="1"/>
        <v>1.3031161473087818</v>
      </c>
      <c r="M16" s="53">
        <f t="shared" si="1"/>
        <v>376.77053824362605</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4.0842300127270619</v>
      </c>
      <c r="E20" s="29">
        <f t="shared" si="2"/>
        <v>95.663956639566393</v>
      </c>
      <c r="F20" s="51">
        <f t="shared" si="2"/>
        <v>0.12122252747252747</v>
      </c>
      <c r="G20" s="305" t="s">
        <v>253</v>
      </c>
      <c r="H20" s="300"/>
      <c r="J20" s="24" t="s">
        <v>9</v>
      </c>
      <c r="K20" s="28">
        <f t="shared" ref="K20:M23" si="3">IF(K27=0,"-",$D$34/K27)</f>
        <v>4.7148390543608922</v>
      </c>
      <c r="L20" s="29">
        <f t="shared" si="3"/>
        <v>95.663956639566393</v>
      </c>
      <c r="M20" s="51">
        <f t="shared" si="3"/>
        <v>0.15723830734966593</v>
      </c>
      <c r="N20" s="305" t="s">
        <v>132</v>
      </c>
      <c r="O20" s="300"/>
    </row>
    <row r="21" spans="1:16">
      <c r="C21" s="24" t="s">
        <v>7</v>
      </c>
      <c r="D21" s="31">
        <f t="shared" si="2"/>
        <v>6.7780337941628268</v>
      </c>
      <c r="E21" s="32">
        <f t="shared" si="2"/>
        <v>170.53140096618358</v>
      </c>
      <c r="F21" s="52">
        <f t="shared" si="2"/>
        <v>0.29367720465890185</v>
      </c>
      <c r="G21" s="301"/>
      <c r="H21" s="300"/>
      <c r="J21" s="24" t="s">
        <v>7</v>
      </c>
      <c r="K21" s="31">
        <f t="shared" si="3"/>
        <v>10.348871298739374</v>
      </c>
      <c r="L21" s="32">
        <f t="shared" si="3"/>
        <v>233.7748344370861</v>
      </c>
      <c r="M21" s="52">
        <f t="shared" si="3"/>
        <v>0.40574712643678162</v>
      </c>
      <c r="N21" s="301"/>
      <c r="O21" s="300"/>
    </row>
    <row r="22" spans="1:16">
      <c r="C22" s="24" t="s">
        <v>8</v>
      </c>
      <c r="D22" s="31">
        <f t="shared" si="2"/>
        <v>6.4687557265897011</v>
      </c>
      <c r="E22" s="32">
        <f t="shared" si="2"/>
        <v>189.78494623655914</v>
      </c>
      <c r="F22" s="52">
        <f t="shared" si="2"/>
        <v>0.57212317666126422</v>
      </c>
      <c r="G22" s="301"/>
      <c r="H22" s="300"/>
      <c r="J22" s="24" t="s">
        <v>8</v>
      </c>
      <c r="K22" s="31">
        <f t="shared" si="3"/>
        <v>11.966101694915254</v>
      </c>
      <c r="L22" s="32">
        <f t="shared" si="3"/>
        <v>289.34426229508199</v>
      </c>
      <c r="M22" s="52">
        <f t="shared" si="3"/>
        <v>0.77924944812362029</v>
      </c>
      <c r="N22" s="301"/>
      <c r="O22" s="300"/>
    </row>
    <row r="23" spans="1:16" ht="13.5" thickBot="1">
      <c r="C23" s="24" t="s">
        <v>6</v>
      </c>
      <c r="D23" s="34">
        <f t="shared" si="2"/>
        <v>15.208961654459284</v>
      </c>
      <c r="E23" s="35">
        <f t="shared" si="2"/>
        <v>543.07692307692309</v>
      </c>
      <c r="F23" s="53">
        <f t="shared" si="2"/>
        <v>2.2201257861635222</v>
      </c>
      <c r="G23" s="301"/>
      <c r="H23" s="300"/>
      <c r="J23" s="24" t="s">
        <v>6</v>
      </c>
      <c r="K23" s="34">
        <f t="shared" si="3"/>
        <v>33.301886792452834</v>
      </c>
      <c r="L23" s="35">
        <f t="shared" si="3"/>
        <v>767.39130434782601</v>
      </c>
      <c r="M23" s="53">
        <f t="shared" si="3"/>
        <v>2.6541353383458648</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86.43</v>
      </c>
      <c r="E27" s="209">
        <v>3.69</v>
      </c>
      <c r="F27" s="210">
        <v>2912</v>
      </c>
      <c r="G27" s="305" t="str">
        <f>"EOS pounds removed per '"&amp;E3&amp;"' of practice per year"</f>
        <v>EOS pounds removed per 'acre' of practice per year</v>
      </c>
      <c r="H27" s="300"/>
      <c r="J27" s="24" t="s">
        <v>9</v>
      </c>
      <c r="K27" s="56">
        <v>74.87</v>
      </c>
      <c r="L27" s="209">
        <v>3.69</v>
      </c>
      <c r="M27" s="210">
        <v>2245</v>
      </c>
      <c r="N27" s="299" t="str">
        <f>"delivered pounds removed per '"&amp;E3&amp;"' of practice per year"</f>
        <v>delivered pounds removed per 'acre' of practice per year</v>
      </c>
      <c r="O27" s="300"/>
      <c r="P27" s="204"/>
    </row>
    <row r="28" spans="1:16">
      <c r="C28" s="24" t="s">
        <v>7</v>
      </c>
      <c r="D28" s="211">
        <v>52.08</v>
      </c>
      <c r="E28" s="212">
        <v>2.0699999999999998</v>
      </c>
      <c r="F28" s="213">
        <v>1202</v>
      </c>
      <c r="G28" s="301"/>
      <c r="H28" s="300"/>
      <c r="J28" s="24" t="s">
        <v>7</v>
      </c>
      <c r="K28" s="57">
        <v>34.11</v>
      </c>
      <c r="L28" s="212">
        <v>1.51</v>
      </c>
      <c r="M28" s="213">
        <v>870</v>
      </c>
      <c r="N28" s="301"/>
      <c r="O28" s="300"/>
      <c r="P28" s="204"/>
    </row>
    <row r="29" spans="1:16">
      <c r="C29" s="24" t="s">
        <v>8</v>
      </c>
      <c r="D29" s="211">
        <v>54.57</v>
      </c>
      <c r="E29" s="212">
        <v>1.86</v>
      </c>
      <c r="F29" s="213">
        <v>617</v>
      </c>
      <c r="G29" s="301"/>
      <c r="H29" s="300"/>
      <c r="J29" s="24" t="s">
        <v>8</v>
      </c>
      <c r="K29" s="57">
        <v>29.5</v>
      </c>
      <c r="L29" s="212">
        <v>1.22</v>
      </c>
      <c r="M29" s="213">
        <v>453</v>
      </c>
      <c r="N29" s="301"/>
      <c r="O29" s="300"/>
      <c r="P29" s="204"/>
    </row>
    <row r="30" spans="1:16" ht="13.5" thickBot="1">
      <c r="C30" s="24" t="s">
        <v>6</v>
      </c>
      <c r="D30" s="214">
        <v>23.21</v>
      </c>
      <c r="E30" s="215">
        <v>0.65</v>
      </c>
      <c r="F30" s="216">
        <v>159</v>
      </c>
      <c r="G30" s="301"/>
      <c r="H30" s="300"/>
      <c r="J30" s="24" t="s">
        <v>6</v>
      </c>
      <c r="K30" s="58">
        <v>10.6</v>
      </c>
      <c r="L30" s="215">
        <v>0.46</v>
      </c>
      <c r="M30" s="216">
        <v>133</v>
      </c>
      <c r="N30" s="301"/>
      <c r="O30" s="300"/>
      <c r="P30" s="204"/>
    </row>
    <row r="31" spans="1:16" ht="13.5" thickBot="1"/>
    <row r="32" spans="1:16" s="42" customFormat="1">
      <c r="A32" s="86" t="s">
        <v>1</v>
      </c>
    </row>
    <row r="33" spans="1:13" ht="5.25" customHeight="1" thickBot="1"/>
    <row r="34" spans="1:13" ht="13.5" thickBot="1">
      <c r="C34" s="24" t="s">
        <v>11</v>
      </c>
      <c r="D34" s="46">
        <f>-PMT(D39,D38,D36)+D37</f>
        <v>353</v>
      </c>
      <c r="E34" s="18" t="str">
        <f>"$ per '"&amp;E3&amp;"' of practice per year"</f>
        <v>$ per 'acre' of practice per year</v>
      </c>
      <c r="I34" s="82" t="s">
        <v>169</v>
      </c>
      <c r="J34" s="217" t="s">
        <v>160</v>
      </c>
      <c r="K34" s="217" t="s">
        <v>164</v>
      </c>
      <c r="L34" s="217" t="s">
        <v>167</v>
      </c>
      <c r="M34" s="81" t="s">
        <v>165</v>
      </c>
    </row>
    <row r="35" spans="1:13" ht="5.25" customHeight="1" thickBot="1">
      <c r="C35" s="24"/>
      <c r="D35" s="47"/>
      <c r="E35" s="18"/>
      <c r="I35" s="78"/>
      <c r="J35" s="220"/>
      <c r="K35" s="220"/>
      <c r="L35" s="220"/>
      <c r="M35" s="79"/>
    </row>
    <row r="36" spans="1:13">
      <c r="C36" s="24" t="s">
        <v>10</v>
      </c>
      <c r="D36" s="38">
        <f>K36</f>
        <v>3300</v>
      </c>
      <c r="E36" s="18" t="str">
        <f>"$ per '"&amp;E3&amp;"' of practice"</f>
        <v>$ per 'acre' of practice</v>
      </c>
      <c r="I36" s="78" t="s">
        <v>162</v>
      </c>
      <c r="J36" s="236">
        <v>1791</v>
      </c>
      <c r="K36" s="235">
        <v>3300</v>
      </c>
      <c r="L36" s="236">
        <v>969</v>
      </c>
      <c r="M36" s="79">
        <f>AVERAGE(J36:L36)</f>
        <v>2020</v>
      </c>
    </row>
    <row r="37" spans="1:13">
      <c r="C37" s="24" t="s">
        <v>12</v>
      </c>
      <c r="D37" s="39">
        <f>K37</f>
        <v>133</v>
      </c>
      <c r="E37" s="18" t="str">
        <f>"$ per '"&amp;E3&amp;"' of practice per year"</f>
        <v>$ per 'acre' of practice per year</v>
      </c>
      <c r="I37" s="78" t="s">
        <v>161</v>
      </c>
      <c r="J37" s="236">
        <v>140</v>
      </c>
      <c r="K37" s="235">
        <v>133</v>
      </c>
      <c r="L37" s="236">
        <v>212</v>
      </c>
      <c r="M37" s="79">
        <f>AVERAGE(J37:L37)</f>
        <v>161.66666666666666</v>
      </c>
    </row>
    <row r="38" spans="1:13">
      <c r="C38" s="24" t="s">
        <v>13</v>
      </c>
      <c r="D38" s="249">
        <f>K38</f>
        <v>15</v>
      </c>
      <c r="E38" s="18" t="s">
        <v>15</v>
      </c>
      <c r="I38" s="78" t="s">
        <v>163</v>
      </c>
      <c r="J38" s="245">
        <v>20</v>
      </c>
      <c r="K38" s="244">
        <v>15</v>
      </c>
      <c r="L38" s="245">
        <v>15</v>
      </c>
      <c r="M38" s="79">
        <v>20</v>
      </c>
    </row>
    <row r="39" spans="1:13" ht="13.5" thickBot="1">
      <c r="C39" s="24" t="s">
        <v>14</v>
      </c>
      <c r="D39" s="41">
        <f>Summary!C35</f>
        <v>0</v>
      </c>
      <c r="E39" s="18" t="s">
        <v>16</v>
      </c>
      <c r="I39" s="80" t="s">
        <v>166</v>
      </c>
      <c r="J39" s="239">
        <f>J37+(J36/J38)</f>
        <v>229.55</v>
      </c>
      <c r="K39" s="238">
        <f>K37+(K36/K38)</f>
        <v>353</v>
      </c>
      <c r="L39" s="239">
        <f>L37+(L36/L38)</f>
        <v>276.60000000000002</v>
      </c>
      <c r="M39" s="251">
        <f>AVERAGE(J39:L39)</f>
        <v>286.38333333333333</v>
      </c>
    </row>
    <row r="40" spans="1:13">
      <c r="F40" s="234"/>
    </row>
    <row r="41" spans="1:13">
      <c r="I41" s="304" t="s">
        <v>264</v>
      </c>
      <c r="J41" s="304"/>
      <c r="K41" s="304"/>
      <c r="L41" s="304"/>
    </row>
    <row r="42" spans="1:13">
      <c r="I42" s="304"/>
      <c r="J42" s="304"/>
      <c r="K42" s="304"/>
      <c r="L42" s="304"/>
    </row>
    <row r="43" spans="1:13">
      <c r="I43" s="304"/>
      <c r="J43" s="304"/>
      <c r="K43" s="304"/>
      <c r="L43" s="304"/>
    </row>
    <row r="44" spans="1:13">
      <c r="I44" s="304"/>
      <c r="J44" s="304"/>
      <c r="K44" s="304"/>
      <c r="L44" s="304"/>
    </row>
    <row r="45" spans="1:13">
      <c r="I45" s="304"/>
      <c r="J45" s="304"/>
      <c r="K45" s="304"/>
      <c r="L45" s="304"/>
    </row>
    <row r="48" spans="1:13">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sheetPr codeName="Sheet60"/>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Grass Buffers; Vegetated Open Channel - Agriculture</v>
      </c>
      <c r="I1" s="22"/>
      <c r="J1" s="37" t="s">
        <v>135</v>
      </c>
      <c r="K1" s="50">
        <v>15</v>
      </c>
      <c r="L1" s="22"/>
      <c r="M1" s="22"/>
      <c r="N1" s="22"/>
      <c r="O1" s="22"/>
      <c r="P1" s="22"/>
      <c r="Q1" s="22"/>
      <c r="R1" s="22"/>
    </row>
    <row r="2" spans="1:19" s="20" customFormat="1" ht="12.75" customHeight="1">
      <c r="D2" s="48" t="s">
        <v>3</v>
      </c>
      <c r="E2" s="19" t="str">
        <f>VLOOKUP($K$1,'BMP info'!A:G,4,FALSE)</f>
        <v>GrassBuffers</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lu change
u/l treatment</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282.28589520341933</v>
      </c>
      <c r="E13" s="29">
        <f t="shared" si="0"/>
        <v>11.492797213867343</v>
      </c>
      <c r="F13" s="51">
        <f t="shared" si="0"/>
        <v>5005.5406047174292</v>
      </c>
      <c r="G13" s="305" t="s">
        <v>254</v>
      </c>
      <c r="H13" s="300"/>
      <c r="J13" s="24" t="s">
        <v>9</v>
      </c>
      <c r="K13" s="28">
        <f t="shared" ref="K13:M16" si="1">IF(K27*$D$34=0,"-",1000*K27/$D$34)</f>
        <v>208.29507677695108</v>
      </c>
      <c r="L13" s="29">
        <f t="shared" si="1"/>
        <v>11.112870033243629</v>
      </c>
      <c r="M13" s="51">
        <f t="shared" si="1"/>
        <v>3993.9844863067915</v>
      </c>
      <c r="N13" s="305" t="s">
        <v>133</v>
      </c>
      <c r="O13" s="300"/>
    </row>
    <row r="14" spans="1:19">
      <c r="C14" s="24" t="s">
        <v>7</v>
      </c>
      <c r="D14" s="31">
        <f t="shared" si="0"/>
        <v>155.2002532847871</v>
      </c>
      <c r="E14" s="32">
        <f t="shared" si="0"/>
        <v>7.7410163052081682</v>
      </c>
      <c r="F14" s="52">
        <f t="shared" si="0"/>
        <v>2070.6031343992404</v>
      </c>
      <c r="G14" s="301"/>
      <c r="H14" s="300"/>
      <c r="J14" s="24" t="s">
        <v>7</v>
      </c>
      <c r="K14" s="31">
        <f t="shared" si="1"/>
        <v>131.1698591103372</v>
      </c>
      <c r="L14" s="32">
        <f t="shared" si="1"/>
        <v>6.9811619439607409</v>
      </c>
      <c r="M14" s="52">
        <f t="shared" si="1"/>
        <v>1852.1450055406046</v>
      </c>
      <c r="N14" s="301"/>
      <c r="O14" s="300"/>
    </row>
    <row r="15" spans="1:19">
      <c r="C15" s="24" t="s">
        <v>8</v>
      </c>
      <c r="D15" s="31">
        <f t="shared" si="0"/>
        <v>119.62957099889188</v>
      </c>
      <c r="E15" s="32">
        <f t="shared" si="0"/>
        <v>5.8888712996675636</v>
      </c>
      <c r="F15" s="52">
        <f t="shared" si="0"/>
        <v>1002.0579388950451</v>
      </c>
      <c r="G15" s="301"/>
      <c r="H15" s="300"/>
      <c r="J15" s="24" t="s">
        <v>8</v>
      </c>
      <c r="K15" s="31">
        <f t="shared" si="1"/>
        <v>118.6797530473326</v>
      </c>
      <c r="L15" s="32">
        <f t="shared" si="1"/>
        <v>5.3189805287319931</v>
      </c>
      <c r="M15" s="52">
        <f t="shared" si="1"/>
        <v>1030.5524774418236</v>
      </c>
      <c r="N15" s="301"/>
      <c r="O15" s="300"/>
    </row>
    <row r="16" spans="1:19" ht="13.5" thickBot="1">
      <c r="C16" s="24" t="s">
        <v>6</v>
      </c>
      <c r="D16" s="34">
        <f t="shared" si="0"/>
        <v>79.357289852778223</v>
      </c>
      <c r="E16" s="35">
        <f t="shared" si="0"/>
        <v>4.1317080892828875</v>
      </c>
      <c r="F16" s="53">
        <f t="shared" si="0"/>
        <v>655.37438657590633</v>
      </c>
      <c r="G16" s="301"/>
      <c r="H16" s="300"/>
      <c r="J16" s="24" t="s">
        <v>6</v>
      </c>
      <c r="K16" s="34">
        <f t="shared" si="1"/>
        <v>64.350166218141524</v>
      </c>
      <c r="L16" s="35">
        <f t="shared" si="1"/>
        <v>3.4193446256134243</v>
      </c>
      <c r="M16" s="53">
        <f t="shared" si="1"/>
        <v>641.12711730251704</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3.5425078510542845</v>
      </c>
      <c r="E20" s="29">
        <f t="shared" si="2"/>
        <v>87.011019283746563</v>
      </c>
      <c r="F20" s="51">
        <f t="shared" si="2"/>
        <v>0.19977862112586969</v>
      </c>
      <c r="G20" s="305" t="s">
        <v>253</v>
      </c>
      <c r="H20" s="300"/>
      <c r="J20" s="24" t="s">
        <v>9</v>
      </c>
      <c r="K20" s="28">
        <f t="shared" ref="K20:M23" si="3">IF(K27=0,"-",$D$34/K27)</f>
        <v>4.8008815929472561</v>
      </c>
      <c r="L20" s="29">
        <f t="shared" si="3"/>
        <v>89.985754985754994</v>
      </c>
      <c r="M20" s="51">
        <f t="shared" si="3"/>
        <v>0.25037653586999603</v>
      </c>
      <c r="N20" s="305" t="s">
        <v>132</v>
      </c>
      <c r="O20" s="300"/>
    </row>
    <row r="21" spans="1:16">
      <c r="C21" s="24" t="s">
        <v>7</v>
      </c>
      <c r="D21" s="31">
        <f t="shared" si="2"/>
        <v>6.4432884536923707</v>
      </c>
      <c r="E21" s="32">
        <f t="shared" si="2"/>
        <v>129.18200408997956</v>
      </c>
      <c r="F21" s="52">
        <f t="shared" si="2"/>
        <v>0.48295107033639145</v>
      </c>
      <c r="G21" s="301"/>
      <c r="H21" s="300"/>
      <c r="J21" s="24" t="s">
        <v>7</v>
      </c>
      <c r="K21" s="31">
        <f t="shared" si="3"/>
        <v>7.6237026309437601</v>
      </c>
      <c r="L21" s="32">
        <f t="shared" si="3"/>
        <v>143.24263038548753</v>
      </c>
      <c r="M21" s="52">
        <f t="shared" si="3"/>
        <v>0.53991452991452993</v>
      </c>
      <c r="N21" s="301"/>
      <c r="O21" s="300"/>
    </row>
    <row r="22" spans="1:16">
      <c r="C22" s="24" t="s">
        <v>8</v>
      </c>
      <c r="D22" s="31">
        <f t="shared" si="2"/>
        <v>8.3591372237660444</v>
      </c>
      <c r="E22" s="32">
        <f t="shared" si="2"/>
        <v>169.81182795698925</v>
      </c>
      <c r="F22" s="52">
        <f t="shared" si="2"/>
        <v>0.99794628751974723</v>
      </c>
      <c r="G22" s="301"/>
      <c r="H22" s="300"/>
      <c r="J22" s="24" t="s">
        <v>8</v>
      </c>
      <c r="K22" s="31">
        <f t="shared" si="3"/>
        <v>8.4260370814992669</v>
      </c>
      <c r="L22" s="32">
        <f t="shared" si="3"/>
        <v>188.00595238095235</v>
      </c>
      <c r="M22" s="52">
        <f t="shared" si="3"/>
        <v>0.9703533026113671</v>
      </c>
      <c r="N22" s="301"/>
      <c r="O22" s="300"/>
    </row>
    <row r="23" spans="1:16" ht="13.5" thickBot="1">
      <c r="C23" s="24" t="s">
        <v>6</v>
      </c>
      <c r="D23" s="34">
        <f t="shared" si="2"/>
        <v>12.601236784360662</v>
      </c>
      <c r="E23" s="35">
        <f t="shared" si="2"/>
        <v>242.03065134099617</v>
      </c>
      <c r="F23" s="53">
        <f t="shared" si="2"/>
        <v>1.5258454106280193</v>
      </c>
      <c r="G23" s="301"/>
      <c r="H23" s="300"/>
      <c r="J23" s="24" t="s">
        <v>6</v>
      </c>
      <c r="K23" s="34">
        <f t="shared" si="3"/>
        <v>15.539975399753997</v>
      </c>
      <c r="L23" s="35">
        <f t="shared" si="3"/>
        <v>292.4537037037037</v>
      </c>
      <c r="M23" s="53">
        <f t="shared" si="3"/>
        <v>1.5597530864197531</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59.44</v>
      </c>
      <c r="E27" s="209">
        <v>2.42</v>
      </c>
      <c r="F27" s="210">
        <v>1054</v>
      </c>
      <c r="G27" s="305" t="str">
        <f>"EOS pounds removed per '"&amp;E3&amp;"' of practice per year"</f>
        <v>EOS pounds removed per 'acre' of practice per year</v>
      </c>
      <c r="H27" s="300"/>
      <c r="J27" s="24" t="s">
        <v>9</v>
      </c>
      <c r="K27" s="56">
        <v>43.86</v>
      </c>
      <c r="L27" s="209">
        <v>2.34</v>
      </c>
      <c r="M27" s="210">
        <v>841</v>
      </c>
      <c r="N27" s="299" t="str">
        <f>"delivered pounds removed per '"&amp;E3&amp;"' of practice per year"</f>
        <v>delivered pounds removed per 'acre' of practice per year</v>
      </c>
      <c r="O27" s="300"/>
      <c r="P27" s="204"/>
    </row>
    <row r="28" spans="1:16">
      <c r="C28" s="24" t="s">
        <v>7</v>
      </c>
      <c r="D28" s="211">
        <v>32.68</v>
      </c>
      <c r="E28" s="212">
        <v>1.63</v>
      </c>
      <c r="F28" s="213">
        <v>436</v>
      </c>
      <c r="G28" s="301"/>
      <c r="H28" s="300"/>
      <c r="J28" s="24" t="s">
        <v>7</v>
      </c>
      <c r="K28" s="57">
        <v>27.62</v>
      </c>
      <c r="L28" s="212">
        <v>1.47</v>
      </c>
      <c r="M28" s="213">
        <v>390</v>
      </c>
      <c r="N28" s="301"/>
      <c r="O28" s="300"/>
      <c r="P28" s="204"/>
    </row>
    <row r="29" spans="1:16">
      <c r="C29" s="24" t="s">
        <v>8</v>
      </c>
      <c r="D29" s="211">
        <v>25.19</v>
      </c>
      <c r="E29" s="212">
        <v>1.24</v>
      </c>
      <c r="F29" s="213">
        <v>211</v>
      </c>
      <c r="G29" s="301"/>
      <c r="H29" s="300"/>
      <c r="J29" s="24" t="s">
        <v>8</v>
      </c>
      <c r="K29" s="57">
        <v>24.99</v>
      </c>
      <c r="L29" s="212">
        <v>1.1200000000000001</v>
      </c>
      <c r="M29" s="213">
        <v>217</v>
      </c>
      <c r="N29" s="301"/>
      <c r="O29" s="300"/>
      <c r="P29" s="204"/>
    </row>
    <row r="30" spans="1:16" ht="13.5" thickBot="1">
      <c r="C30" s="24" t="s">
        <v>6</v>
      </c>
      <c r="D30" s="214">
        <v>16.71</v>
      </c>
      <c r="E30" s="215">
        <v>0.87</v>
      </c>
      <c r="F30" s="216">
        <v>138</v>
      </c>
      <c r="G30" s="301"/>
      <c r="H30" s="300"/>
      <c r="J30" s="24" t="s">
        <v>6</v>
      </c>
      <c r="K30" s="58">
        <v>13.55</v>
      </c>
      <c r="L30" s="215">
        <v>0.72</v>
      </c>
      <c r="M30" s="216">
        <v>135</v>
      </c>
      <c r="N30" s="301"/>
      <c r="O30" s="300"/>
      <c r="P30" s="204"/>
    </row>
    <row r="31" spans="1:16" ht="13.5" thickBot="1"/>
    <row r="32" spans="1:16" s="42" customFormat="1">
      <c r="A32" s="86" t="s">
        <v>1</v>
      </c>
    </row>
    <row r="33" spans="1:13" ht="5.25" customHeight="1" thickBot="1"/>
    <row r="34" spans="1:13" ht="13.5" thickBot="1">
      <c r="C34" s="24" t="s">
        <v>11</v>
      </c>
      <c r="D34" s="46">
        <f>-PMT(D39,D38,D36)+D37</f>
        <v>210.56666666666666</v>
      </c>
      <c r="E34" s="18" t="str">
        <f>"$ per '"&amp;E3&amp;"' of practice per year"</f>
        <v>$ per 'acre' of practice per year</v>
      </c>
      <c r="I34" s="82" t="s">
        <v>169</v>
      </c>
      <c r="J34" s="217" t="s">
        <v>160</v>
      </c>
      <c r="K34" s="217" t="s">
        <v>164</v>
      </c>
      <c r="L34" s="217" t="s">
        <v>164</v>
      </c>
      <c r="M34" s="81" t="s">
        <v>165</v>
      </c>
    </row>
    <row r="35" spans="1:13" ht="5.25" customHeight="1" thickBot="1">
      <c r="C35" s="24"/>
      <c r="D35" s="47"/>
      <c r="E35" s="18"/>
      <c r="I35" s="78"/>
      <c r="J35" s="220"/>
      <c r="K35" s="220"/>
      <c r="L35" s="220"/>
      <c r="M35" s="79"/>
    </row>
    <row r="36" spans="1:13">
      <c r="C36" s="24" t="s">
        <v>10</v>
      </c>
      <c r="D36" s="38">
        <f>M36</f>
        <v>355.66666666666669</v>
      </c>
      <c r="E36" s="18" t="str">
        <f>"$ per '"&amp;E3&amp;"' of practice"</f>
        <v>$ per 'acre' of practice</v>
      </c>
      <c r="I36" s="78" t="s">
        <v>162</v>
      </c>
      <c r="J36" s="236">
        <v>430</v>
      </c>
      <c r="K36" s="236">
        <v>260</v>
      </c>
      <c r="L36" s="236">
        <v>377</v>
      </c>
      <c r="M36" s="168">
        <f>AVERAGE(J36:L36)</f>
        <v>355.66666666666669</v>
      </c>
    </row>
    <row r="37" spans="1:13">
      <c r="C37" s="24" t="s">
        <v>12</v>
      </c>
      <c r="D37" s="39">
        <f>M37</f>
        <v>175</v>
      </c>
      <c r="E37" s="18" t="str">
        <f>"$ per '"&amp;E3&amp;"' of practice per year"</f>
        <v>$ per 'acre' of practice per year</v>
      </c>
      <c r="I37" s="78" t="s">
        <v>161</v>
      </c>
      <c r="J37" s="236">
        <v>170</v>
      </c>
      <c r="K37" s="236">
        <v>170</v>
      </c>
      <c r="L37" s="236">
        <v>185</v>
      </c>
      <c r="M37" s="165">
        <f>AVERAGE(J37:L37)</f>
        <v>175</v>
      </c>
    </row>
    <row r="38" spans="1:13">
      <c r="C38" s="24" t="s">
        <v>13</v>
      </c>
      <c r="D38" s="40">
        <f>M38</f>
        <v>10</v>
      </c>
      <c r="E38" s="18" t="s">
        <v>15</v>
      </c>
      <c r="I38" s="78" t="s">
        <v>163</v>
      </c>
      <c r="J38" s="245">
        <v>10</v>
      </c>
      <c r="K38" s="245">
        <v>10</v>
      </c>
      <c r="L38" s="245">
        <v>10</v>
      </c>
      <c r="M38" s="165">
        <v>10</v>
      </c>
    </row>
    <row r="39" spans="1:13" ht="13.5" thickBot="1">
      <c r="C39" s="24" t="s">
        <v>14</v>
      </c>
      <c r="D39" s="41">
        <f>Summary!C35</f>
        <v>0</v>
      </c>
      <c r="E39" s="18" t="s">
        <v>16</v>
      </c>
      <c r="I39" s="80" t="s">
        <v>166</v>
      </c>
      <c r="J39" s="239">
        <f>J37+(J36/J38)</f>
        <v>213</v>
      </c>
      <c r="K39" s="239">
        <f>K37+(K36/K38)</f>
        <v>196</v>
      </c>
      <c r="L39" s="239">
        <f>L37+(L36/L38)</f>
        <v>222.7</v>
      </c>
      <c r="M39" s="169">
        <f>M37+(M36/M38)</f>
        <v>210.56666666666666</v>
      </c>
    </row>
    <row r="40" spans="1:13">
      <c r="F40" s="234"/>
    </row>
    <row r="41" spans="1:13">
      <c r="I41" s="304" t="s">
        <v>220</v>
      </c>
      <c r="J41" s="304"/>
      <c r="K41" s="304"/>
      <c r="L41" s="304"/>
    </row>
    <row r="42" spans="1:13">
      <c r="I42" s="304"/>
      <c r="J42" s="304"/>
      <c r="K42" s="304"/>
      <c r="L42" s="304"/>
    </row>
    <row r="43" spans="1:13">
      <c r="I43" s="304"/>
      <c r="J43" s="304"/>
      <c r="K43" s="304"/>
      <c r="L43" s="304"/>
    </row>
    <row r="44" spans="1:13">
      <c r="I44" s="304"/>
      <c r="J44" s="304"/>
      <c r="K44" s="304"/>
      <c r="L44" s="304"/>
    </row>
    <row r="45" spans="1:13">
      <c r="I45" s="304"/>
      <c r="J45" s="304"/>
      <c r="K45" s="304"/>
      <c r="L45" s="304"/>
    </row>
    <row r="48" spans="1:13">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Sheet48"/>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0" style="17" bestFit="1" customWidth="1"/>
    <col min="13" max="16384" width="9.140625" style="17"/>
  </cols>
  <sheetData>
    <row r="1" spans="1:19" s="20" customFormat="1" ht="21" customHeight="1">
      <c r="A1" s="302" t="s">
        <v>136</v>
      </c>
      <c r="B1" s="303"/>
      <c r="D1" s="25" t="s">
        <v>134</v>
      </c>
      <c r="E1" s="89" t="str">
        <f>VLOOKUP($K$1,'BMP info'!A:G,3,FALSE)</f>
        <v>Horse Pasture Management</v>
      </c>
      <c r="I1" s="22"/>
      <c r="J1" s="37" t="s">
        <v>135</v>
      </c>
      <c r="K1" s="50">
        <v>16</v>
      </c>
      <c r="L1" s="22"/>
      <c r="M1" s="22"/>
      <c r="N1" s="22"/>
      <c r="O1" s="22"/>
      <c r="P1" s="22"/>
      <c r="Q1" s="22"/>
      <c r="R1" s="22"/>
    </row>
    <row r="2" spans="1:19" s="20" customFormat="1" ht="12.75" customHeight="1">
      <c r="D2" s="48" t="s">
        <v>3</v>
      </c>
      <c r="E2" s="19" t="str">
        <f>VLOOKUP($K$1,'BMP info'!A:G,4,FALSE)</f>
        <v>HorsePasMan</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efficiency applied</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t="str">
        <f t="shared" ref="D13:F16" si="0">IF(D27*$D$34=0,"-",1000*D27/$D$34)</f>
        <v>-</v>
      </c>
      <c r="E13" s="29">
        <f t="shared" si="0"/>
        <v>0.45</v>
      </c>
      <c r="F13" s="51">
        <f t="shared" si="0"/>
        <v>538.33333333333337</v>
      </c>
      <c r="G13" s="305" t="s">
        <v>254</v>
      </c>
      <c r="H13" s="300"/>
      <c r="J13" s="24" t="s">
        <v>9</v>
      </c>
      <c r="K13" s="28" t="str">
        <f t="shared" ref="K13:M16" si="1">IF(K27*$D$34=0,"-",1000*K27/$D$34)</f>
        <v>-</v>
      </c>
      <c r="L13" s="29">
        <f t="shared" si="1"/>
        <v>0.21666666666666667</v>
      </c>
      <c r="M13" s="51">
        <f t="shared" si="1"/>
        <v>305</v>
      </c>
      <c r="N13" s="305" t="s">
        <v>133</v>
      </c>
      <c r="O13" s="300"/>
    </row>
    <row r="14" spans="1:19">
      <c r="C14" s="24" t="s">
        <v>7</v>
      </c>
      <c r="D14" s="31" t="str">
        <f t="shared" si="0"/>
        <v>-</v>
      </c>
      <c r="E14" s="32">
        <f t="shared" si="0"/>
        <v>0.18333333333333332</v>
      </c>
      <c r="F14" s="52">
        <f t="shared" si="0"/>
        <v>160</v>
      </c>
      <c r="G14" s="301"/>
      <c r="H14" s="300"/>
      <c r="J14" s="24" t="s">
        <v>7</v>
      </c>
      <c r="K14" s="31" t="str">
        <f t="shared" si="1"/>
        <v>-</v>
      </c>
      <c r="L14" s="32">
        <f t="shared" si="1"/>
        <v>0.13333333333333333</v>
      </c>
      <c r="M14" s="52">
        <f t="shared" si="1"/>
        <v>96.666666666666671</v>
      </c>
      <c r="N14" s="301"/>
      <c r="O14" s="300"/>
    </row>
    <row r="15" spans="1:19">
      <c r="C15" s="24" t="s">
        <v>8</v>
      </c>
      <c r="D15" s="31" t="str">
        <f t="shared" si="0"/>
        <v>-</v>
      </c>
      <c r="E15" s="32">
        <f t="shared" si="0"/>
        <v>0.16666666666666666</v>
      </c>
      <c r="F15" s="52">
        <f t="shared" si="0"/>
        <v>28.333333333333332</v>
      </c>
      <c r="G15" s="301"/>
      <c r="H15" s="300"/>
      <c r="J15" s="24" t="s">
        <v>8</v>
      </c>
      <c r="K15" s="31" t="str">
        <f t="shared" si="1"/>
        <v>-</v>
      </c>
      <c r="L15" s="32">
        <f t="shared" si="1"/>
        <v>0.13333333333333333</v>
      </c>
      <c r="M15" s="52">
        <f t="shared" si="1"/>
        <v>21.666666666666668</v>
      </c>
      <c r="N15" s="301"/>
      <c r="O15" s="300"/>
    </row>
    <row r="16" spans="1:19" ht="13.5" thickBot="1">
      <c r="C16" s="24" t="s">
        <v>6</v>
      </c>
      <c r="D16" s="34" t="str">
        <f t="shared" si="0"/>
        <v>-</v>
      </c>
      <c r="E16" s="35">
        <f t="shared" si="0"/>
        <v>1.6666666666666666E-2</v>
      </c>
      <c r="F16" s="53">
        <f t="shared" si="0"/>
        <v>1.6666666666666667</v>
      </c>
      <c r="G16" s="301"/>
      <c r="H16" s="300"/>
      <c r="J16" s="24" t="s">
        <v>6</v>
      </c>
      <c r="K16" s="34" t="str">
        <f t="shared" si="1"/>
        <v>-</v>
      </c>
      <c r="L16" s="35">
        <f t="shared" si="1"/>
        <v>1.6666666666666666E-2</v>
      </c>
      <c r="M16" s="53">
        <f t="shared" si="1"/>
        <v>1.6666666666666667</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t="str">
        <f t="shared" ref="D20:F23" si="2">IF(D27=0,"-",$D$34/D27)</f>
        <v>-</v>
      </c>
      <c r="E20" s="29">
        <f t="shared" si="2"/>
        <v>2222.2222222222222</v>
      </c>
      <c r="F20" s="51">
        <f t="shared" si="2"/>
        <v>1.8575851393188854</v>
      </c>
      <c r="G20" s="305" t="s">
        <v>253</v>
      </c>
      <c r="H20" s="300"/>
      <c r="J20" s="24" t="s">
        <v>9</v>
      </c>
      <c r="K20" s="28" t="str">
        <f t="shared" ref="K20:M23" si="3">IF(K27=0,"-",$D$34/K27)</f>
        <v>-</v>
      </c>
      <c r="L20" s="29">
        <f t="shared" si="3"/>
        <v>4615.3846153846152</v>
      </c>
      <c r="M20" s="51">
        <f t="shared" si="3"/>
        <v>3.278688524590164</v>
      </c>
      <c r="N20" s="305" t="s">
        <v>132</v>
      </c>
      <c r="O20" s="300"/>
    </row>
    <row r="21" spans="1:16">
      <c r="C21" s="24" t="s">
        <v>7</v>
      </c>
      <c r="D21" s="31" t="str">
        <f t="shared" si="2"/>
        <v>-</v>
      </c>
      <c r="E21" s="32">
        <f t="shared" si="2"/>
        <v>5454.545454545455</v>
      </c>
      <c r="F21" s="52">
        <f t="shared" si="2"/>
        <v>6.25</v>
      </c>
      <c r="G21" s="301"/>
      <c r="H21" s="300"/>
      <c r="J21" s="24" t="s">
        <v>7</v>
      </c>
      <c r="K21" s="31" t="str">
        <f t="shared" si="3"/>
        <v>-</v>
      </c>
      <c r="L21" s="32">
        <f t="shared" si="3"/>
        <v>7500</v>
      </c>
      <c r="M21" s="52">
        <f t="shared" si="3"/>
        <v>10.344827586206897</v>
      </c>
      <c r="N21" s="301"/>
      <c r="O21" s="300"/>
    </row>
    <row r="22" spans="1:16">
      <c r="C22" s="24" t="s">
        <v>8</v>
      </c>
      <c r="D22" s="31" t="str">
        <f t="shared" si="2"/>
        <v>-</v>
      </c>
      <c r="E22" s="32">
        <f t="shared" si="2"/>
        <v>6000</v>
      </c>
      <c r="F22" s="52">
        <f t="shared" si="2"/>
        <v>35.294117647058826</v>
      </c>
      <c r="G22" s="301"/>
      <c r="H22" s="300"/>
      <c r="J22" s="24" t="s">
        <v>8</v>
      </c>
      <c r="K22" s="31" t="str">
        <f t="shared" si="3"/>
        <v>-</v>
      </c>
      <c r="L22" s="32">
        <f t="shared" si="3"/>
        <v>7500</v>
      </c>
      <c r="M22" s="52">
        <f t="shared" si="3"/>
        <v>46.153846153846153</v>
      </c>
      <c r="N22" s="301"/>
      <c r="O22" s="300"/>
    </row>
    <row r="23" spans="1:16" ht="13.5" thickBot="1">
      <c r="C23" s="24" t="s">
        <v>6</v>
      </c>
      <c r="D23" s="34" t="str">
        <f t="shared" si="2"/>
        <v>-</v>
      </c>
      <c r="E23" s="35">
        <f t="shared" si="2"/>
        <v>60000</v>
      </c>
      <c r="F23" s="53">
        <f t="shared" si="2"/>
        <v>600</v>
      </c>
      <c r="G23" s="301"/>
      <c r="H23" s="300"/>
      <c r="J23" s="24" t="s">
        <v>6</v>
      </c>
      <c r="K23" s="34" t="str">
        <f t="shared" si="3"/>
        <v>-</v>
      </c>
      <c r="L23" s="35">
        <f t="shared" si="3"/>
        <v>60000</v>
      </c>
      <c r="M23" s="53">
        <f t="shared" si="3"/>
        <v>600</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0</v>
      </c>
      <c r="E27" s="209">
        <v>0.27</v>
      </c>
      <c r="F27" s="210">
        <v>323</v>
      </c>
      <c r="G27" s="305" t="str">
        <f>"EOS pounds removed per '"&amp;E3&amp;"' of practice per year"</f>
        <v>EOS pounds removed per 'acre' of practice per year</v>
      </c>
      <c r="H27" s="300"/>
      <c r="J27" s="24" t="s">
        <v>9</v>
      </c>
      <c r="K27" s="56">
        <v>0</v>
      </c>
      <c r="L27" s="209">
        <v>0.13</v>
      </c>
      <c r="M27" s="210">
        <v>183</v>
      </c>
      <c r="N27" s="299" t="str">
        <f>"delivered pounds removed per '"&amp;E3&amp;"' of practice per year"</f>
        <v>delivered pounds removed per 'acre' of practice per year</v>
      </c>
      <c r="O27" s="300"/>
      <c r="P27" s="204"/>
    </row>
    <row r="28" spans="1:16">
      <c r="C28" s="24" t="s">
        <v>7</v>
      </c>
      <c r="D28" s="211">
        <v>0</v>
      </c>
      <c r="E28" s="212">
        <v>0.11</v>
      </c>
      <c r="F28" s="213">
        <v>96</v>
      </c>
      <c r="G28" s="301"/>
      <c r="H28" s="300"/>
      <c r="J28" s="24" t="s">
        <v>7</v>
      </c>
      <c r="K28" s="57">
        <v>0</v>
      </c>
      <c r="L28" s="212">
        <v>0.08</v>
      </c>
      <c r="M28" s="213">
        <v>58</v>
      </c>
      <c r="N28" s="301"/>
      <c r="O28" s="300"/>
      <c r="P28" s="204"/>
    </row>
    <row r="29" spans="1:16">
      <c r="C29" s="24" t="s">
        <v>8</v>
      </c>
      <c r="D29" s="211">
        <v>0</v>
      </c>
      <c r="E29" s="212">
        <v>0.1</v>
      </c>
      <c r="F29" s="213">
        <v>17</v>
      </c>
      <c r="G29" s="301"/>
      <c r="H29" s="300"/>
      <c r="J29" s="24" t="s">
        <v>8</v>
      </c>
      <c r="K29" s="57">
        <v>0</v>
      </c>
      <c r="L29" s="212">
        <v>0.08</v>
      </c>
      <c r="M29" s="213">
        <v>13</v>
      </c>
      <c r="N29" s="301"/>
      <c r="O29" s="300"/>
      <c r="P29" s="204"/>
    </row>
    <row r="30" spans="1:16" ht="13.5" thickBot="1">
      <c r="C30" s="24" t="s">
        <v>6</v>
      </c>
      <c r="D30" s="214">
        <v>0</v>
      </c>
      <c r="E30" s="215">
        <v>0.01</v>
      </c>
      <c r="F30" s="216">
        <v>1</v>
      </c>
      <c r="G30" s="301"/>
      <c r="H30" s="300"/>
      <c r="J30" s="24" t="s">
        <v>6</v>
      </c>
      <c r="K30" s="58">
        <v>0</v>
      </c>
      <c r="L30" s="215">
        <v>0.01</v>
      </c>
      <c r="M30" s="216">
        <v>1</v>
      </c>
      <c r="N30" s="301"/>
      <c r="O30" s="300"/>
      <c r="P30" s="204"/>
    </row>
    <row r="31" spans="1:16" ht="13.5" thickBot="1"/>
    <row r="32" spans="1:16" s="42" customFormat="1">
      <c r="A32" s="86" t="s">
        <v>1</v>
      </c>
    </row>
    <row r="33" spans="1:12" ht="5.25" customHeight="1" thickBot="1"/>
    <row r="34" spans="1:12" ht="13.5" thickBot="1">
      <c r="C34" s="24" t="s">
        <v>11</v>
      </c>
      <c r="D34" s="46">
        <f>-PMT(D39,D38,D36)+D37</f>
        <v>600</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3000</v>
      </c>
      <c r="E36" s="18" t="str">
        <f>"$ per '"&amp;E3&amp;"' of practice"</f>
        <v>$ per 'acre' of practice</v>
      </c>
      <c r="I36" s="78" t="s">
        <v>162</v>
      </c>
      <c r="J36" s="236">
        <v>195</v>
      </c>
      <c r="K36" s="235">
        <v>3000</v>
      </c>
      <c r="L36" s="237">
        <f>AVERAGE(J36:K36)</f>
        <v>1597.5</v>
      </c>
    </row>
    <row r="37" spans="1:12">
      <c r="C37" s="24" t="s">
        <v>12</v>
      </c>
      <c r="D37" s="39">
        <f>K37</f>
        <v>0</v>
      </c>
      <c r="E37" s="18" t="str">
        <f>"$ per '"&amp;E3&amp;"' of practice per year"</f>
        <v>$ per 'acre' of practice per year</v>
      </c>
      <c r="I37" s="78" t="s">
        <v>161</v>
      </c>
      <c r="J37" s="236">
        <v>3</v>
      </c>
      <c r="K37" s="235">
        <v>0</v>
      </c>
      <c r="L37" s="237">
        <f>AVERAGE(J37:K37)</f>
        <v>1.5</v>
      </c>
    </row>
    <row r="38" spans="1:12">
      <c r="C38" s="24" t="s">
        <v>13</v>
      </c>
      <c r="D38" s="249">
        <f>K38</f>
        <v>5</v>
      </c>
      <c r="E38" s="18" t="s">
        <v>15</v>
      </c>
      <c r="I38" s="78" t="s">
        <v>163</v>
      </c>
      <c r="J38" s="245">
        <v>15</v>
      </c>
      <c r="K38" s="244">
        <v>5</v>
      </c>
      <c r="L38" s="246">
        <f>AVERAGE(J38:K38)</f>
        <v>10</v>
      </c>
    </row>
    <row r="39" spans="1:12" ht="13.5" thickBot="1">
      <c r="C39" s="24" t="s">
        <v>14</v>
      </c>
      <c r="D39" s="41">
        <f>Summary!C35</f>
        <v>0</v>
      </c>
      <c r="E39" s="18" t="s">
        <v>16</v>
      </c>
      <c r="I39" s="80" t="s">
        <v>166</v>
      </c>
      <c r="J39" s="239">
        <f>J37+(J36/J38)</f>
        <v>16</v>
      </c>
      <c r="K39" s="238">
        <f>K37+(K36/K38)</f>
        <v>600</v>
      </c>
      <c r="L39" s="240">
        <f>L37+(L36/L38)</f>
        <v>161.25</v>
      </c>
    </row>
    <row r="40" spans="1:12">
      <c r="F40" s="234"/>
    </row>
    <row r="41" spans="1:12">
      <c r="I41" s="304" t="s">
        <v>265</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Sheet61"/>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1" width="10" style="17" bestFit="1" customWidth="1"/>
    <col min="12" max="12" width="9.28515625" style="17" bestFit="1" customWidth="1"/>
    <col min="13" max="16384" width="9.140625" style="17"/>
  </cols>
  <sheetData>
    <row r="1" spans="1:19" s="20" customFormat="1" ht="21" customHeight="1">
      <c r="A1" s="302" t="s">
        <v>136</v>
      </c>
      <c r="B1" s="303"/>
      <c r="D1" s="25" t="s">
        <v>134</v>
      </c>
      <c r="E1" s="89" t="str">
        <f>VLOOKUP($K$1,'BMP info'!A:G,3,FALSE)</f>
        <v>Land Retirement to hay without nutrients (HEL)</v>
      </c>
      <c r="I1" s="22"/>
      <c r="J1" s="37" t="s">
        <v>135</v>
      </c>
      <c r="K1" s="50">
        <v>17</v>
      </c>
      <c r="L1" s="22"/>
      <c r="M1" s="22"/>
      <c r="N1" s="22"/>
      <c r="O1" s="22"/>
      <c r="P1" s="22"/>
      <c r="Q1" s="22"/>
      <c r="R1" s="22"/>
    </row>
    <row r="2" spans="1:19" s="20" customFormat="1" ht="12.75" customHeight="1">
      <c r="D2" s="48" t="s">
        <v>3</v>
      </c>
      <c r="E2" s="19" t="str">
        <f>VLOOKUP($K$1,'BMP info'!A:G,4,FALSE)</f>
        <v>LandRetireHyo</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landuse change</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153.08041145890942</v>
      </c>
      <c r="E13" s="29">
        <f t="shared" si="0"/>
        <v>6.5732298892347556</v>
      </c>
      <c r="F13" s="51">
        <f t="shared" si="0"/>
        <v>6092.8784742522157</v>
      </c>
      <c r="G13" s="305" t="s">
        <v>254</v>
      </c>
      <c r="H13" s="300"/>
      <c r="J13" s="24" t="s">
        <v>9</v>
      </c>
      <c r="K13" s="28">
        <f t="shared" ref="K13:M16" si="1">IF(K27*$D$34=0,"-",1000*K27/$D$34)</f>
        <v>85.199172025850487</v>
      </c>
      <c r="L13" s="29">
        <f t="shared" si="1"/>
        <v>4.4242893485233932</v>
      </c>
      <c r="M13" s="51">
        <f t="shared" si="1"/>
        <v>4436.9301752334604</v>
      </c>
      <c r="N13" s="305" t="s">
        <v>133</v>
      </c>
      <c r="O13" s="300"/>
    </row>
    <row r="14" spans="1:19">
      <c r="C14" s="24" t="s">
        <v>7</v>
      </c>
      <c r="D14" s="31">
        <f t="shared" si="0"/>
        <v>86.147234029105505</v>
      </c>
      <c r="E14" s="32">
        <f t="shared" si="0"/>
        <v>4.2346769478723907</v>
      </c>
      <c r="F14" s="52">
        <f t="shared" si="0"/>
        <v>2844.1860097650388</v>
      </c>
      <c r="G14" s="301"/>
      <c r="H14" s="300"/>
      <c r="J14" s="24" t="s">
        <v>7</v>
      </c>
      <c r="K14" s="31">
        <f t="shared" si="1"/>
        <v>48.035141498253985</v>
      </c>
      <c r="L14" s="32">
        <f t="shared" si="1"/>
        <v>2.591369475563702</v>
      </c>
      <c r="M14" s="52">
        <f t="shared" si="1"/>
        <v>2022.5322736106941</v>
      </c>
      <c r="N14" s="301"/>
      <c r="O14" s="300"/>
    </row>
    <row r="15" spans="1:19">
      <c r="C15" s="24" t="s">
        <v>8</v>
      </c>
      <c r="D15" s="31">
        <f t="shared" si="0"/>
        <v>73.127182517736657</v>
      </c>
      <c r="E15" s="32">
        <f t="shared" si="0"/>
        <v>3.4130232117180461</v>
      </c>
      <c r="F15" s="52">
        <f t="shared" si="0"/>
        <v>2054.1343403858614</v>
      </c>
      <c r="G15" s="301"/>
      <c r="H15" s="300"/>
      <c r="J15" s="24" t="s">
        <v>8</v>
      </c>
      <c r="K15" s="31">
        <f t="shared" si="1"/>
        <v>45.443772022690283</v>
      </c>
      <c r="L15" s="32">
        <f t="shared" si="1"/>
        <v>2.6545736091140362</v>
      </c>
      <c r="M15" s="52">
        <f t="shared" si="1"/>
        <v>1365.2092846872185</v>
      </c>
      <c r="N15" s="301"/>
      <c r="O15" s="300"/>
    </row>
    <row r="16" spans="1:19" ht="13.5" thickBot="1">
      <c r="C16" s="24" t="s">
        <v>6</v>
      </c>
      <c r="D16" s="34">
        <f t="shared" si="0"/>
        <v>31.096433706764422</v>
      </c>
      <c r="E16" s="35">
        <f t="shared" si="0"/>
        <v>2.1489405407113624</v>
      </c>
      <c r="F16" s="53">
        <f t="shared" si="0"/>
        <v>316.02066775167094</v>
      </c>
      <c r="G16" s="301"/>
      <c r="H16" s="300"/>
      <c r="J16" s="24" t="s">
        <v>6</v>
      </c>
      <c r="K16" s="34">
        <f t="shared" si="1"/>
        <v>10.744702703556813</v>
      </c>
      <c r="L16" s="35">
        <f t="shared" si="1"/>
        <v>0.94806200325501289</v>
      </c>
      <c r="M16" s="53">
        <f t="shared" si="1"/>
        <v>284.41860097650385</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6.5325144508670521</v>
      </c>
      <c r="E20" s="29">
        <f t="shared" si="2"/>
        <v>152.13221153846155</v>
      </c>
      <c r="F20" s="51">
        <f t="shared" si="2"/>
        <v>0.16412603734439835</v>
      </c>
      <c r="G20" s="305" t="s">
        <v>253</v>
      </c>
      <c r="H20" s="300"/>
      <c r="J20" s="24" t="s">
        <v>9</v>
      </c>
      <c r="K20" s="28">
        <f t="shared" ref="K20:M23" si="3">IF(K27=0,"-",$D$34/K27)</f>
        <v>11.737203264094955</v>
      </c>
      <c r="L20" s="29">
        <f t="shared" si="3"/>
        <v>226.02500000000001</v>
      </c>
      <c r="M20" s="51">
        <f t="shared" si="3"/>
        <v>0.22538105413105414</v>
      </c>
      <c r="N20" s="305" t="s">
        <v>132</v>
      </c>
      <c r="O20" s="300"/>
    </row>
    <row r="21" spans="1:16">
      <c r="C21" s="24" t="s">
        <v>7</v>
      </c>
      <c r="D21" s="31">
        <f t="shared" si="2"/>
        <v>11.608033749082905</v>
      </c>
      <c r="E21" s="32">
        <f t="shared" si="2"/>
        <v>236.1455223880597</v>
      </c>
      <c r="F21" s="52">
        <f t="shared" si="2"/>
        <v>0.35159444444444443</v>
      </c>
      <c r="G21" s="301"/>
      <c r="H21" s="300"/>
      <c r="J21" s="24" t="s">
        <v>7</v>
      </c>
      <c r="K21" s="31">
        <f t="shared" si="3"/>
        <v>20.818092105263158</v>
      </c>
      <c r="L21" s="32">
        <f t="shared" si="3"/>
        <v>385.89634146341467</v>
      </c>
      <c r="M21" s="52">
        <f t="shared" si="3"/>
        <v>0.49442968749999999</v>
      </c>
      <c r="N21" s="301"/>
      <c r="O21" s="300"/>
    </row>
    <row r="22" spans="1:16">
      <c r="C22" s="24" t="s">
        <v>8</v>
      </c>
      <c r="D22" s="31">
        <f t="shared" si="2"/>
        <v>13.674805531547104</v>
      </c>
      <c r="E22" s="32">
        <f t="shared" si="2"/>
        <v>292.99537037037038</v>
      </c>
      <c r="F22" s="52">
        <f t="shared" si="2"/>
        <v>0.48682307692307691</v>
      </c>
      <c r="G22" s="301"/>
      <c r="H22" s="300"/>
      <c r="J22" s="24" t="s">
        <v>8</v>
      </c>
      <c r="K22" s="31">
        <f t="shared" si="3"/>
        <v>22.00521557719054</v>
      </c>
      <c r="L22" s="32">
        <f t="shared" si="3"/>
        <v>376.70833333333337</v>
      </c>
      <c r="M22" s="52">
        <f t="shared" si="3"/>
        <v>0.73248842592592589</v>
      </c>
      <c r="N22" s="301"/>
      <c r="O22" s="300"/>
    </row>
    <row r="23" spans="1:16" ht="13.5" thickBot="1">
      <c r="C23" s="24" t="s">
        <v>6</v>
      </c>
      <c r="D23" s="34">
        <f t="shared" si="2"/>
        <v>32.158028455284551</v>
      </c>
      <c r="E23" s="35">
        <f t="shared" si="2"/>
        <v>465.34558823529409</v>
      </c>
      <c r="F23" s="53">
        <f t="shared" si="2"/>
        <v>3.1643500000000002</v>
      </c>
      <c r="G23" s="301"/>
      <c r="H23" s="300"/>
      <c r="J23" s="24" t="s">
        <v>6</v>
      </c>
      <c r="K23" s="34">
        <f t="shared" si="3"/>
        <v>93.069117647058832</v>
      </c>
      <c r="L23" s="35">
        <f t="shared" si="3"/>
        <v>1054.7833333333333</v>
      </c>
      <c r="M23" s="53">
        <f t="shared" si="3"/>
        <v>3.5159444444444445</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24.22</v>
      </c>
      <c r="E27" s="209">
        <v>1.04</v>
      </c>
      <c r="F27" s="210">
        <v>964</v>
      </c>
      <c r="G27" s="305" t="str">
        <f>"EOS pounds removed per '"&amp;E3&amp;"' of practice per year"</f>
        <v>EOS pounds removed per 'acre' of practice per year</v>
      </c>
      <c r="H27" s="300"/>
      <c r="J27" s="24" t="s">
        <v>9</v>
      </c>
      <c r="K27" s="56">
        <v>13.48</v>
      </c>
      <c r="L27" s="209">
        <v>0.7</v>
      </c>
      <c r="M27" s="210">
        <v>702</v>
      </c>
      <c r="N27" s="299" t="str">
        <f>"delivered pounds removed per '"&amp;E3&amp;"' of practice per year"</f>
        <v>delivered pounds removed per 'acre' of practice per year</v>
      </c>
      <c r="O27" s="300"/>
      <c r="P27" s="204"/>
    </row>
    <row r="28" spans="1:16">
      <c r="C28" s="24" t="s">
        <v>7</v>
      </c>
      <c r="D28" s="211">
        <v>13.63</v>
      </c>
      <c r="E28" s="212">
        <v>0.67</v>
      </c>
      <c r="F28" s="213">
        <v>450</v>
      </c>
      <c r="G28" s="301"/>
      <c r="H28" s="300"/>
      <c r="J28" s="24" t="s">
        <v>7</v>
      </c>
      <c r="K28" s="57">
        <v>7.6</v>
      </c>
      <c r="L28" s="212">
        <v>0.41</v>
      </c>
      <c r="M28" s="213">
        <v>320</v>
      </c>
      <c r="N28" s="301"/>
      <c r="O28" s="300"/>
      <c r="P28" s="204"/>
    </row>
    <row r="29" spans="1:16">
      <c r="C29" s="24" t="s">
        <v>8</v>
      </c>
      <c r="D29" s="211">
        <v>11.57</v>
      </c>
      <c r="E29" s="212">
        <v>0.54</v>
      </c>
      <c r="F29" s="213">
        <v>325</v>
      </c>
      <c r="G29" s="301"/>
      <c r="H29" s="300"/>
      <c r="J29" s="24" t="s">
        <v>8</v>
      </c>
      <c r="K29" s="57">
        <v>7.19</v>
      </c>
      <c r="L29" s="212">
        <v>0.42</v>
      </c>
      <c r="M29" s="213">
        <v>216</v>
      </c>
      <c r="N29" s="301"/>
      <c r="O29" s="300"/>
      <c r="P29" s="204"/>
    </row>
    <row r="30" spans="1:16" ht="13.5" thickBot="1">
      <c r="C30" s="24" t="s">
        <v>6</v>
      </c>
      <c r="D30" s="214">
        <v>4.92</v>
      </c>
      <c r="E30" s="215">
        <v>0.34</v>
      </c>
      <c r="F30" s="216">
        <v>50</v>
      </c>
      <c r="G30" s="301"/>
      <c r="H30" s="300"/>
      <c r="J30" s="24" t="s">
        <v>6</v>
      </c>
      <c r="K30" s="58">
        <v>1.7</v>
      </c>
      <c r="L30" s="215">
        <v>0.15</v>
      </c>
      <c r="M30" s="216">
        <v>45</v>
      </c>
      <c r="N30" s="301"/>
      <c r="O30" s="300"/>
      <c r="P30" s="204"/>
    </row>
    <row r="31" spans="1:16" ht="13.5" thickBot="1"/>
    <row r="32" spans="1:16" s="42" customFormat="1">
      <c r="A32" s="86" t="s">
        <v>1</v>
      </c>
    </row>
    <row r="33" spans="1:12" ht="5.25" customHeight="1" thickBot="1"/>
    <row r="34" spans="1:12" ht="13.5" thickBot="1">
      <c r="C34" s="24" t="s">
        <v>11</v>
      </c>
      <c r="D34" s="46">
        <f>-PMT(D39,D38,D36)+D37</f>
        <v>158.2175</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L36</f>
        <v>652.17499999999995</v>
      </c>
      <c r="E36" s="18" t="str">
        <f>"$ per '"&amp;E3&amp;"' of practice"</f>
        <v>$ per 'acre' of practice</v>
      </c>
      <c r="I36" s="78" t="s">
        <v>162</v>
      </c>
      <c r="J36" s="236">
        <v>0</v>
      </c>
      <c r="K36" s="236">
        <v>1304.3499999999999</v>
      </c>
      <c r="L36" s="241">
        <f>AVERAGE(J36:K36)</f>
        <v>652.17499999999995</v>
      </c>
    </row>
    <row r="37" spans="1:12">
      <c r="C37" s="24" t="s">
        <v>12</v>
      </c>
      <c r="D37" s="39">
        <f>L37</f>
        <v>93</v>
      </c>
      <c r="E37" s="18" t="str">
        <f>"$ per '"&amp;E3&amp;"' of practice per year"</f>
        <v>$ per 'acre' of practice per year</v>
      </c>
      <c r="I37" s="78" t="s">
        <v>161</v>
      </c>
      <c r="J37" s="236">
        <v>186</v>
      </c>
      <c r="K37" s="236">
        <v>0</v>
      </c>
      <c r="L37" s="241">
        <f>AVERAGE(J37:K37)</f>
        <v>93</v>
      </c>
    </row>
    <row r="38" spans="1:12">
      <c r="C38" s="24" t="s">
        <v>13</v>
      </c>
      <c r="D38" s="40">
        <f>L38</f>
        <v>10</v>
      </c>
      <c r="E38" s="18" t="s">
        <v>15</v>
      </c>
      <c r="I38" s="78" t="s">
        <v>163</v>
      </c>
      <c r="J38" s="245">
        <v>1</v>
      </c>
      <c r="K38" s="245">
        <v>10</v>
      </c>
      <c r="L38" s="247">
        <v>10</v>
      </c>
    </row>
    <row r="39" spans="1:12" ht="13.5" thickBot="1">
      <c r="C39" s="24" t="s">
        <v>14</v>
      </c>
      <c r="D39" s="41">
        <f>Summary!C35</f>
        <v>0</v>
      </c>
      <c r="E39" s="18" t="s">
        <v>16</v>
      </c>
      <c r="I39" s="80" t="s">
        <v>166</v>
      </c>
      <c r="J39" s="239">
        <f>J37+(J36/J38)</f>
        <v>186</v>
      </c>
      <c r="K39" s="239">
        <f>K37+(K36/K38)</f>
        <v>130.435</v>
      </c>
      <c r="L39" s="242">
        <f>AVERAGE(J39:K39)</f>
        <v>158.2175</v>
      </c>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sheetPr codeName="Sheet62"/>
  <dimension ref="A1:S48"/>
  <sheetViews>
    <sheetView workbookViewId="0">
      <pane ySplit="6" topLeftCell="A7" activePane="bottomLeft" state="frozenSplit"/>
      <selection activeCell="M48" sqref="M48"/>
      <selection pane="bottomLeft" activeCell="N50" sqref="N50"/>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1" width="10" style="17" bestFit="1" customWidth="1"/>
    <col min="12" max="12" width="9.28515625" style="17" bestFit="1" customWidth="1"/>
    <col min="13" max="16384" width="9.140625" style="17"/>
  </cols>
  <sheetData>
    <row r="1" spans="1:19" s="20" customFormat="1" ht="21" customHeight="1">
      <c r="A1" s="302" t="s">
        <v>136</v>
      </c>
      <c r="B1" s="303"/>
      <c r="D1" s="25" t="s">
        <v>134</v>
      </c>
      <c r="E1" s="89" t="str">
        <f>VLOOKUP($K$1,'BMP info'!A:G,3,FALSE)</f>
        <v>Land Retirement to pasture (HEL)</v>
      </c>
      <c r="I1" s="22"/>
      <c r="J1" s="37" t="s">
        <v>135</v>
      </c>
      <c r="K1" s="50">
        <v>18</v>
      </c>
      <c r="L1" s="22"/>
      <c r="M1" s="22"/>
      <c r="N1" s="22"/>
      <c r="O1" s="22"/>
      <c r="P1" s="22"/>
      <c r="Q1" s="22"/>
      <c r="R1" s="22"/>
    </row>
    <row r="2" spans="1:19" s="20" customFormat="1" ht="12.75" customHeight="1">
      <c r="D2" s="48" t="s">
        <v>3</v>
      </c>
      <c r="E2" s="19" t="str">
        <f>VLOOKUP($K$1,'BMP info'!A:G,4,FALSE)</f>
        <v>LandRetirePas</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landuse change</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109.84878411048082</v>
      </c>
      <c r="E13" s="29">
        <f t="shared" si="0"/>
        <v>2.6545736091140362</v>
      </c>
      <c r="F13" s="51">
        <f t="shared" si="0"/>
        <v>11300.899078799754</v>
      </c>
      <c r="G13" s="305" t="s">
        <v>254</v>
      </c>
      <c r="H13" s="300"/>
      <c r="J13" s="24" t="s">
        <v>9</v>
      </c>
      <c r="K13" s="28">
        <f t="shared" ref="K13:M16" si="1">IF(K27*$D$34=0,"-",1000*K27/$D$34)</f>
        <v>75.844960260401024</v>
      </c>
      <c r="L13" s="29">
        <f t="shared" si="1"/>
        <v>2.2121446742616966</v>
      </c>
      <c r="M13" s="51">
        <f t="shared" si="1"/>
        <v>9708.154913331331</v>
      </c>
      <c r="N13" s="305" t="s">
        <v>133</v>
      </c>
      <c r="O13" s="300"/>
    </row>
    <row r="14" spans="1:19">
      <c r="C14" s="24" t="s">
        <v>7</v>
      </c>
      <c r="D14" s="31">
        <f t="shared" si="0"/>
        <v>72.811161849984984</v>
      </c>
      <c r="E14" s="32">
        <f t="shared" si="0"/>
        <v>1.5801033387583547</v>
      </c>
      <c r="F14" s="52">
        <f t="shared" si="0"/>
        <v>4866.7182833757324</v>
      </c>
      <c r="G14" s="301"/>
      <c r="H14" s="300"/>
      <c r="J14" s="24" t="s">
        <v>7</v>
      </c>
      <c r="K14" s="31">
        <f t="shared" si="1"/>
        <v>51.890593644824371</v>
      </c>
      <c r="L14" s="32">
        <f t="shared" si="1"/>
        <v>1.3904909381073522</v>
      </c>
      <c r="M14" s="52">
        <f t="shared" si="1"/>
        <v>4329.4831481978918</v>
      </c>
      <c r="N14" s="301"/>
      <c r="O14" s="300"/>
    </row>
    <row r="15" spans="1:19">
      <c r="C15" s="24" t="s">
        <v>8</v>
      </c>
      <c r="D15" s="31">
        <f t="shared" si="0"/>
        <v>54.861187921690075</v>
      </c>
      <c r="E15" s="32">
        <f t="shared" si="0"/>
        <v>1.2640826710066839</v>
      </c>
      <c r="F15" s="52">
        <f t="shared" si="0"/>
        <v>2964.2738635106734</v>
      </c>
      <c r="G15" s="301"/>
      <c r="H15" s="300"/>
      <c r="J15" s="24" t="s">
        <v>8</v>
      </c>
      <c r="K15" s="31">
        <f t="shared" si="1"/>
        <v>52.649043247428381</v>
      </c>
      <c r="L15" s="32">
        <f t="shared" si="1"/>
        <v>1.2640826710066839</v>
      </c>
      <c r="M15" s="52">
        <f t="shared" si="1"/>
        <v>2635.6123690489358</v>
      </c>
      <c r="N15" s="301"/>
      <c r="O15" s="300"/>
    </row>
    <row r="16" spans="1:19" ht="13.5" thickBot="1">
      <c r="C16" s="24" t="s">
        <v>6</v>
      </c>
      <c r="D16" s="34">
        <f t="shared" si="0"/>
        <v>42.599586012925243</v>
      </c>
      <c r="E16" s="35">
        <f t="shared" si="0"/>
        <v>0.63204133550334196</v>
      </c>
      <c r="F16" s="53">
        <f t="shared" si="0"/>
        <v>884.85786970467871</v>
      </c>
      <c r="G16" s="301"/>
      <c r="H16" s="300"/>
      <c r="J16" s="24" t="s">
        <v>6</v>
      </c>
      <c r="K16" s="34">
        <f t="shared" si="1"/>
        <v>35.015089986885144</v>
      </c>
      <c r="L16" s="35">
        <f t="shared" si="1"/>
        <v>0.31602066775167098</v>
      </c>
      <c r="M16" s="53">
        <f t="shared" si="1"/>
        <v>884.85786970467871</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9.1034234752589196</v>
      </c>
      <c r="E20" s="29">
        <f t="shared" si="2"/>
        <v>376.70833333333337</v>
      </c>
      <c r="F20" s="51">
        <f t="shared" si="2"/>
        <v>8.848853467561521E-2</v>
      </c>
      <c r="G20" s="305" t="s">
        <v>253</v>
      </c>
      <c r="H20" s="300"/>
      <c r="J20" s="24" t="s">
        <v>9</v>
      </c>
      <c r="K20" s="28">
        <f t="shared" ref="K20:M23" si="3">IF(K27=0,"-",$D$34/K27)</f>
        <v>13.184791666666667</v>
      </c>
      <c r="L20" s="29">
        <f t="shared" si="3"/>
        <v>452.05</v>
      </c>
      <c r="M20" s="51">
        <f t="shared" si="3"/>
        <v>0.10300618489583334</v>
      </c>
      <c r="N20" s="305" t="s">
        <v>132</v>
      </c>
      <c r="O20" s="300"/>
    </row>
    <row r="21" spans="1:16">
      <c r="C21" s="24" t="s">
        <v>7</v>
      </c>
      <c r="D21" s="31">
        <f t="shared" si="2"/>
        <v>13.734157986111112</v>
      </c>
      <c r="E21" s="32">
        <f t="shared" si="2"/>
        <v>632.87</v>
      </c>
      <c r="F21" s="52">
        <f t="shared" si="2"/>
        <v>0.20547727272727273</v>
      </c>
      <c r="G21" s="301"/>
      <c r="H21" s="300"/>
      <c r="J21" s="24" t="s">
        <v>7</v>
      </c>
      <c r="K21" s="31">
        <f t="shared" si="3"/>
        <v>19.271315468940315</v>
      </c>
      <c r="L21" s="32">
        <f t="shared" si="3"/>
        <v>719.1704545454545</v>
      </c>
      <c r="M21" s="52">
        <f t="shared" si="3"/>
        <v>0.23097445255474452</v>
      </c>
      <c r="N21" s="301"/>
      <c r="O21" s="300"/>
    </row>
    <row r="22" spans="1:16">
      <c r="C22" s="24" t="s">
        <v>8</v>
      </c>
      <c r="D22" s="31">
        <f t="shared" si="2"/>
        <v>18.227822580645164</v>
      </c>
      <c r="E22" s="32">
        <f t="shared" si="2"/>
        <v>791.08749999999998</v>
      </c>
      <c r="F22" s="52">
        <f t="shared" si="2"/>
        <v>0.33735074626865674</v>
      </c>
      <c r="G22" s="301"/>
      <c r="H22" s="300"/>
      <c r="J22" s="24" t="s">
        <v>8</v>
      </c>
      <c r="K22" s="31">
        <f t="shared" si="3"/>
        <v>18.993697478991596</v>
      </c>
      <c r="L22" s="32">
        <f t="shared" si="3"/>
        <v>791.08749999999998</v>
      </c>
      <c r="M22" s="52">
        <f t="shared" si="3"/>
        <v>0.37941846522781775</v>
      </c>
      <c r="N22" s="301"/>
      <c r="O22" s="300"/>
    </row>
    <row r="23" spans="1:16" ht="13.5" thickBot="1">
      <c r="C23" s="24" t="s">
        <v>6</v>
      </c>
      <c r="D23" s="34">
        <f t="shared" si="2"/>
        <v>23.47440652818991</v>
      </c>
      <c r="E23" s="35">
        <f t="shared" si="2"/>
        <v>1582.175</v>
      </c>
      <c r="F23" s="53">
        <f t="shared" si="2"/>
        <v>1.130125</v>
      </c>
      <c r="G23" s="301"/>
      <c r="H23" s="300"/>
      <c r="J23" s="24" t="s">
        <v>6</v>
      </c>
      <c r="K23" s="34">
        <f t="shared" si="3"/>
        <v>28.559115523465703</v>
      </c>
      <c r="L23" s="35">
        <f t="shared" si="3"/>
        <v>3164.35</v>
      </c>
      <c r="M23" s="53">
        <f t="shared" si="3"/>
        <v>1.130125</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17.38</v>
      </c>
      <c r="E27" s="209">
        <v>0.42</v>
      </c>
      <c r="F27" s="210">
        <v>1788</v>
      </c>
      <c r="G27" s="305" t="str">
        <f>"EOS pounds removed per '"&amp;E3&amp;"' of practice per year"</f>
        <v>EOS pounds removed per 'acre' of practice per year</v>
      </c>
      <c r="H27" s="300"/>
      <c r="J27" s="24" t="s">
        <v>9</v>
      </c>
      <c r="K27" s="56">
        <v>12</v>
      </c>
      <c r="L27" s="209">
        <v>0.35</v>
      </c>
      <c r="M27" s="210">
        <v>1536</v>
      </c>
      <c r="N27" s="299" t="str">
        <f>"delivered pounds removed per '"&amp;E3&amp;"' of practice per year"</f>
        <v>delivered pounds removed per 'acre' of practice per year</v>
      </c>
      <c r="O27" s="300"/>
      <c r="P27" s="204"/>
    </row>
    <row r="28" spans="1:16">
      <c r="C28" s="24" t="s">
        <v>7</v>
      </c>
      <c r="D28" s="211">
        <v>11.52</v>
      </c>
      <c r="E28" s="212">
        <v>0.25</v>
      </c>
      <c r="F28" s="213">
        <v>770</v>
      </c>
      <c r="G28" s="301"/>
      <c r="H28" s="300"/>
      <c r="J28" s="24" t="s">
        <v>7</v>
      </c>
      <c r="K28" s="57">
        <v>8.2100000000000009</v>
      </c>
      <c r="L28" s="212">
        <v>0.22</v>
      </c>
      <c r="M28" s="213">
        <v>685</v>
      </c>
      <c r="N28" s="301"/>
      <c r="O28" s="300"/>
      <c r="P28" s="204"/>
    </row>
    <row r="29" spans="1:16">
      <c r="C29" s="24" t="s">
        <v>8</v>
      </c>
      <c r="D29" s="211">
        <v>8.68</v>
      </c>
      <c r="E29" s="212">
        <v>0.2</v>
      </c>
      <c r="F29" s="213">
        <v>469</v>
      </c>
      <c r="G29" s="301"/>
      <c r="H29" s="300"/>
      <c r="J29" s="24" t="s">
        <v>8</v>
      </c>
      <c r="K29" s="57">
        <v>8.33</v>
      </c>
      <c r="L29" s="212">
        <v>0.2</v>
      </c>
      <c r="M29" s="213">
        <v>417</v>
      </c>
      <c r="N29" s="301"/>
      <c r="O29" s="300"/>
      <c r="P29" s="204"/>
    </row>
    <row r="30" spans="1:16" ht="13.5" thickBot="1">
      <c r="C30" s="24" t="s">
        <v>6</v>
      </c>
      <c r="D30" s="214">
        <v>6.74</v>
      </c>
      <c r="E30" s="215">
        <v>0.1</v>
      </c>
      <c r="F30" s="216">
        <v>140</v>
      </c>
      <c r="G30" s="301"/>
      <c r="H30" s="300"/>
      <c r="J30" s="24" t="s">
        <v>6</v>
      </c>
      <c r="K30" s="58">
        <v>5.54</v>
      </c>
      <c r="L30" s="215">
        <v>0.05</v>
      </c>
      <c r="M30" s="216">
        <v>140</v>
      </c>
      <c r="N30" s="301"/>
      <c r="O30" s="300"/>
      <c r="P30" s="204"/>
    </row>
    <row r="31" spans="1:16" ht="13.5" thickBot="1"/>
    <row r="32" spans="1:16" s="42" customFormat="1">
      <c r="A32" s="86" t="s">
        <v>1</v>
      </c>
    </row>
    <row r="33" spans="1:12" ht="5.25" customHeight="1" thickBot="1"/>
    <row r="34" spans="1:12" ht="13.5" thickBot="1">
      <c r="C34" s="24" t="s">
        <v>11</v>
      </c>
      <c r="D34" s="46">
        <f>-PMT(D39,D38,D36)+D37</f>
        <v>158.2175</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L36</f>
        <v>652.17499999999995</v>
      </c>
      <c r="E36" s="18" t="str">
        <f>"$ per '"&amp;E3&amp;"' of practice"</f>
        <v>$ per 'acre' of practice</v>
      </c>
      <c r="I36" s="78" t="s">
        <v>162</v>
      </c>
      <c r="J36" s="236">
        <v>0</v>
      </c>
      <c r="K36" s="236">
        <v>1304.3499999999999</v>
      </c>
      <c r="L36" s="241">
        <f>AVERAGE(J36:K36)</f>
        <v>652.17499999999995</v>
      </c>
    </row>
    <row r="37" spans="1:12">
      <c r="C37" s="24" t="s">
        <v>12</v>
      </c>
      <c r="D37" s="39">
        <f>L37</f>
        <v>93</v>
      </c>
      <c r="E37" s="18" t="str">
        <f>"$ per '"&amp;E3&amp;"' of practice per year"</f>
        <v>$ per 'acre' of practice per year</v>
      </c>
      <c r="I37" s="78" t="s">
        <v>161</v>
      </c>
      <c r="J37" s="236">
        <v>186</v>
      </c>
      <c r="K37" s="236">
        <v>0</v>
      </c>
      <c r="L37" s="241">
        <f>AVERAGE(J37:K37)</f>
        <v>93</v>
      </c>
    </row>
    <row r="38" spans="1:12">
      <c r="C38" s="24" t="s">
        <v>13</v>
      </c>
      <c r="D38" s="40">
        <f>L38</f>
        <v>10</v>
      </c>
      <c r="E38" s="18" t="s">
        <v>15</v>
      </c>
      <c r="I38" s="78" t="s">
        <v>163</v>
      </c>
      <c r="J38" s="245">
        <v>1</v>
      </c>
      <c r="K38" s="245">
        <v>10</v>
      </c>
      <c r="L38" s="247">
        <v>10</v>
      </c>
    </row>
    <row r="39" spans="1:12" ht="13.5" thickBot="1">
      <c r="C39" s="24" t="s">
        <v>14</v>
      </c>
      <c r="D39" s="41">
        <f>Summary!C35</f>
        <v>0</v>
      </c>
      <c r="E39" s="18" t="s">
        <v>16</v>
      </c>
      <c r="I39" s="80" t="s">
        <v>166</v>
      </c>
      <c r="J39" s="239">
        <f>J37+(J36/J38)</f>
        <v>186</v>
      </c>
      <c r="K39" s="239">
        <f>K37+(K36/K38)</f>
        <v>130.435</v>
      </c>
      <c r="L39" s="242">
        <f>AVERAGE(J39:K39)</f>
        <v>158.2175</v>
      </c>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sheetPr codeName="Sheet49"/>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Dairy Manure Incorporation</v>
      </c>
      <c r="I1" s="22"/>
      <c r="J1" s="37" t="s">
        <v>135</v>
      </c>
      <c r="K1" s="50">
        <v>19</v>
      </c>
      <c r="L1" s="22"/>
      <c r="M1" s="22"/>
      <c r="N1" s="22"/>
      <c r="O1" s="22"/>
      <c r="P1" s="22"/>
      <c r="Q1" s="22"/>
      <c r="R1" s="22"/>
    </row>
    <row r="2" spans="1:19" s="20" customFormat="1" ht="12.75" customHeight="1">
      <c r="D2" s="48" t="s">
        <v>3</v>
      </c>
      <c r="E2" s="19" t="str">
        <f>VLOOKUP($K$1,'BMP info'!A:G,4,FALSE)</f>
        <v>LiquidInjection</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efficiency applied</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128.39453963761665</v>
      </c>
      <c r="E13" s="29" t="str">
        <f t="shared" si="0"/>
        <v>-</v>
      </c>
      <c r="F13" s="51" t="str">
        <f t="shared" si="0"/>
        <v>-</v>
      </c>
      <c r="G13" s="305" t="s">
        <v>254</v>
      </c>
      <c r="H13" s="300"/>
      <c r="J13" s="24" t="s">
        <v>9</v>
      </c>
      <c r="K13" s="28">
        <f t="shared" ref="K13:M16" si="1">IF(K27*$D$34=0,"-",1000*K27/$D$34)</f>
        <v>71.868507944003781</v>
      </c>
      <c r="L13" s="29" t="str">
        <f t="shared" si="1"/>
        <v>-</v>
      </c>
      <c r="M13" s="51" t="str">
        <f t="shared" si="1"/>
        <v>-</v>
      </c>
      <c r="N13" s="305" t="s">
        <v>133</v>
      </c>
      <c r="O13" s="300"/>
    </row>
    <row r="14" spans="1:19">
      <c r="C14" s="24" t="s">
        <v>7</v>
      </c>
      <c r="D14" s="31">
        <f t="shared" si="0"/>
        <v>77.211741238680361</v>
      </c>
      <c r="E14" s="32" t="str">
        <f t="shared" si="0"/>
        <v>-</v>
      </c>
      <c r="F14" s="52" t="str">
        <f t="shared" si="0"/>
        <v>-</v>
      </c>
      <c r="G14" s="301"/>
      <c r="H14" s="300"/>
      <c r="J14" s="24" t="s">
        <v>7</v>
      </c>
      <c r="K14" s="31">
        <f t="shared" si="1"/>
        <v>49.022608879141373</v>
      </c>
      <c r="L14" s="32" t="str">
        <f t="shared" si="1"/>
        <v>-</v>
      </c>
      <c r="M14" s="52" t="str">
        <f t="shared" si="1"/>
        <v>-</v>
      </c>
      <c r="N14" s="301"/>
      <c r="O14" s="300"/>
    </row>
    <row r="15" spans="1:19">
      <c r="C15" s="24" t="s">
        <v>8</v>
      </c>
      <c r="D15" s="31">
        <f t="shared" si="0"/>
        <v>64.423328001288382</v>
      </c>
      <c r="E15" s="32" t="str">
        <f t="shared" si="0"/>
        <v>-</v>
      </c>
      <c r="F15" s="52" t="str">
        <f t="shared" si="0"/>
        <v>-</v>
      </c>
      <c r="G15" s="301"/>
      <c r="H15" s="300"/>
      <c r="J15" s="24" t="s">
        <v>8</v>
      </c>
      <c r="K15" s="31">
        <f t="shared" si="1"/>
        <v>49.625640204720035</v>
      </c>
      <c r="L15" s="32" t="str">
        <f t="shared" si="1"/>
        <v>-</v>
      </c>
      <c r="M15" s="52" t="str">
        <f t="shared" si="1"/>
        <v>-</v>
      </c>
      <c r="N15" s="301"/>
      <c r="O15" s="300"/>
    </row>
    <row r="16" spans="1:19" ht="13.5" thickBot="1">
      <c r="C16" s="24" t="s">
        <v>6</v>
      </c>
      <c r="D16" s="34">
        <f t="shared" si="0"/>
        <v>39.259583161696909</v>
      </c>
      <c r="E16" s="35" t="str">
        <f t="shared" si="0"/>
        <v>-</v>
      </c>
      <c r="F16" s="53" t="str">
        <f t="shared" si="0"/>
        <v>-</v>
      </c>
      <c r="G16" s="301"/>
      <c r="H16" s="300"/>
      <c r="J16" s="24" t="s">
        <v>6</v>
      </c>
      <c r="K16" s="34">
        <f t="shared" si="1"/>
        <v>31.630908177102885</v>
      </c>
      <c r="L16" s="35" t="str">
        <f t="shared" si="1"/>
        <v>-</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7.7884932086864476</v>
      </c>
      <c r="E20" s="29" t="str">
        <f t="shared" si="2"/>
        <v>-</v>
      </c>
      <c r="F20" s="51" t="str">
        <f t="shared" si="2"/>
        <v>-</v>
      </c>
      <c r="G20" s="305" t="s">
        <v>253</v>
      </c>
      <c r="H20" s="300"/>
      <c r="J20" s="24" t="s">
        <v>9</v>
      </c>
      <c r="K20" s="28">
        <f t="shared" ref="K20:M23" si="3">IF(K27=0,"-",$D$34/K27)</f>
        <v>13.914300277099784</v>
      </c>
      <c r="L20" s="29" t="str">
        <f t="shared" si="3"/>
        <v>-</v>
      </c>
      <c r="M20" s="51" t="str">
        <f t="shared" si="3"/>
        <v>-</v>
      </c>
      <c r="N20" s="305" t="s">
        <v>132</v>
      </c>
      <c r="O20" s="300"/>
    </row>
    <row r="21" spans="1:16">
      <c r="C21" s="24" t="s">
        <v>7</v>
      </c>
      <c r="D21" s="31">
        <f t="shared" si="2"/>
        <v>12.951398115848155</v>
      </c>
      <c r="E21" s="32" t="str">
        <f t="shared" si="2"/>
        <v>-</v>
      </c>
      <c r="F21" s="52" t="str">
        <f t="shared" si="2"/>
        <v>-</v>
      </c>
      <c r="G21" s="301"/>
      <c r="H21" s="300"/>
      <c r="J21" s="24" t="s">
        <v>7</v>
      </c>
      <c r="K21" s="31">
        <f t="shared" si="3"/>
        <v>20.398751165311605</v>
      </c>
      <c r="L21" s="32" t="str">
        <f t="shared" si="3"/>
        <v>-</v>
      </c>
      <c r="M21" s="52" t="str">
        <f t="shared" si="3"/>
        <v>-</v>
      </c>
      <c r="N21" s="301"/>
      <c r="O21" s="300"/>
    </row>
    <row r="22" spans="1:16">
      <c r="C22" s="24" t="s">
        <v>8</v>
      </c>
      <c r="D22" s="31">
        <f t="shared" si="2"/>
        <v>15.52232756401534</v>
      </c>
      <c r="E22" s="32" t="str">
        <f t="shared" si="2"/>
        <v>-</v>
      </c>
      <c r="F22" s="52" t="str">
        <f t="shared" si="2"/>
        <v>-</v>
      </c>
      <c r="G22" s="301"/>
      <c r="H22" s="300"/>
      <c r="J22" s="24" t="s">
        <v>8</v>
      </c>
      <c r="K22" s="31">
        <f t="shared" si="3"/>
        <v>20.150873537846817</v>
      </c>
      <c r="L22" s="32" t="str">
        <f t="shared" si="3"/>
        <v>-</v>
      </c>
      <c r="M22" s="52" t="str">
        <f t="shared" si="3"/>
        <v>-</v>
      </c>
      <c r="N22" s="301"/>
      <c r="O22" s="300"/>
    </row>
    <row r="23" spans="1:16" ht="13.5" thickBot="1">
      <c r="C23" s="24" t="s">
        <v>6</v>
      </c>
      <c r="D23" s="34">
        <f t="shared" si="2"/>
        <v>25.471487964641376</v>
      </c>
      <c r="E23" s="35" t="str">
        <f t="shared" si="2"/>
        <v>-</v>
      </c>
      <c r="F23" s="53" t="str">
        <f t="shared" si="2"/>
        <v>-</v>
      </c>
      <c r="G23" s="301"/>
      <c r="H23" s="300"/>
      <c r="J23" s="24" t="s">
        <v>6</v>
      </c>
      <c r="K23" s="34">
        <f t="shared" si="3"/>
        <v>31.614647116704798</v>
      </c>
      <c r="L23" s="35" t="str">
        <f t="shared" si="3"/>
        <v>-</v>
      </c>
      <c r="M23" s="53" t="str">
        <f t="shared" si="3"/>
        <v>-</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7.1900942197065314</v>
      </c>
      <c r="E27" s="209">
        <v>0</v>
      </c>
      <c r="F27" s="210">
        <v>0</v>
      </c>
      <c r="G27" s="305" t="str">
        <f>"EOS pounds removed per '"&amp;E3&amp;"' of practice per year"</f>
        <v>EOS pounds removed per 'acre' of practice per year</v>
      </c>
      <c r="H27" s="300"/>
      <c r="J27" s="24" t="s">
        <v>9</v>
      </c>
      <c r="K27" s="56">
        <v>4.0246364448642122</v>
      </c>
      <c r="L27" s="209">
        <v>0</v>
      </c>
      <c r="M27" s="210">
        <v>0</v>
      </c>
      <c r="N27" s="299" t="str">
        <f>"delivered pounds removed per '"&amp;E3&amp;"' of practice per year"</f>
        <v>delivered pounds removed per 'acre' of practice per year</v>
      </c>
      <c r="O27" s="300"/>
      <c r="P27" s="204"/>
    </row>
    <row r="28" spans="1:16">
      <c r="C28" s="24" t="s">
        <v>7</v>
      </c>
      <c r="D28" s="211">
        <v>4.3238575093660998</v>
      </c>
      <c r="E28" s="212">
        <v>0</v>
      </c>
      <c r="F28" s="213">
        <v>0</v>
      </c>
      <c r="G28" s="301"/>
      <c r="H28" s="300"/>
      <c r="J28" s="24" t="s">
        <v>7</v>
      </c>
      <c r="K28" s="57">
        <v>2.7452660972319167</v>
      </c>
      <c r="L28" s="212">
        <v>0</v>
      </c>
      <c r="M28" s="213">
        <v>0</v>
      </c>
      <c r="N28" s="301"/>
      <c r="O28" s="300"/>
      <c r="P28" s="204"/>
    </row>
    <row r="29" spans="1:16">
      <c r="C29" s="24" t="s">
        <v>8</v>
      </c>
      <c r="D29" s="211">
        <v>3.6077063680721495</v>
      </c>
      <c r="E29" s="212">
        <v>0</v>
      </c>
      <c r="F29" s="213">
        <v>0</v>
      </c>
      <c r="G29" s="301"/>
      <c r="H29" s="300"/>
      <c r="J29" s="24" t="s">
        <v>8</v>
      </c>
      <c r="K29" s="57">
        <v>2.7790358514643221</v>
      </c>
      <c r="L29" s="212">
        <v>0</v>
      </c>
      <c r="M29" s="213">
        <v>0</v>
      </c>
      <c r="N29" s="301"/>
      <c r="O29" s="300"/>
      <c r="P29" s="204"/>
    </row>
    <row r="30" spans="1:16" ht="13.5" thickBot="1">
      <c r="C30" s="24" t="s">
        <v>6</v>
      </c>
      <c r="D30" s="214">
        <v>2.1985366570550267</v>
      </c>
      <c r="E30" s="215">
        <v>0</v>
      </c>
      <c r="F30" s="216">
        <v>0</v>
      </c>
      <c r="G30" s="301"/>
      <c r="H30" s="300"/>
      <c r="J30" s="24" t="s">
        <v>6</v>
      </c>
      <c r="K30" s="58">
        <v>1.7713308579177616</v>
      </c>
      <c r="L30" s="215">
        <v>0</v>
      </c>
      <c r="M30" s="216">
        <v>0</v>
      </c>
      <c r="N30" s="301"/>
      <c r="O30" s="300"/>
      <c r="P30" s="204"/>
    </row>
    <row r="31" spans="1:16" ht="13.5" thickBot="1"/>
    <row r="32" spans="1:16" s="42" customFormat="1">
      <c r="A32" s="86" t="s">
        <v>1</v>
      </c>
    </row>
    <row r="33" spans="1:12" ht="5.25" customHeight="1" thickBot="1"/>
    <row r="34" spans="1:12" ht="13.5" thickBot="1">
      <c r="C34" s="24" t="s">
        <v>11</v>
      </c>
      <c r="D34" s="46">
        <f>-PMT(D39,D38,D36)+D37</f>
        <v>56</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L36</f>
        <v>0</v>
      </c>
      <c r="E36" s="18" t="str">
        <f>"$ per '"&amp;E3&amp;"' of practice"</f>
        <v>$ per 'acre' of practice</v>
      </c>
      <c r="I36" s="78" t="s">
        <v>162</v>
      </c>
      <c r="J36" s="236">
        <v>0</v>
      </c>
      <c r="K36" s="236">
        <v>0</v>
      </c>
      <c r="L36" s="241">
        <f>AVERAGE(J36:K36)</f>
        <v>0</v>
      </c>
    </row>
    <row r="37" spans="1:12">
      <c r="C37" s="24" t="s">
        <v>12</v>
      </c>
      <c r="D37" s="39">
        <f>L37</f>
        <v>56</v>
      </c>
      <c r="E37" s="18" t="str">
        <f>"$ per '"&amp;E3&amp;"' of practice per year"</f>
        <v>$ per 'acre' of practice per year</v>
      </c>
      <c r="I37" s="78" t="s">
        <v>161</v>
      </c>
      <c r="J37" s="236">
        <v>60</v>
      </c>
      <c r="K37" s="236">
        <v>52</v>
      </c>
      <c r="L37" s="241">
        <f>AVERAGE(J37:K37)</f>
        <v>56</v>
      </c>
    </row>
    <row r="38" spans="1:12">
      <c r="C38" s="24" t="s">
        <v>13</v>
      </c>
      <c r="D38" s="40">
        <v>1</v>
      </c>
      <c r="E38" s="18" t="s">
        <v>15</v>
      </c>
      <c r="I38" s="78" t="s">
        <v>163</v>
      </c>
      <c r="J38" s="245">
        <v>1</v>
      </c>
      <c r="K38" s="245">
        <v>1</v>
      </c>
      <c r="L38" s="247">
        <v>1</v>
      </c>
    </row>
    <row r="39" spans="1:12" ht="13.5" thickBot="1">
      <c r="C39" s="24" t="s">
        <v>14</v>
      </c>
      <c r="D39" s="41">
        <f>Summary!C35</f>
        <v>0</v>
      </c>
      <c r="E39" s="18" t="s">
        <v>16</v>
      </c>
      <c r="I39" s="80" t="s">
        <v>166</v>
      </c>
      <c r="J39" s="239">
        <f>J37+(J36/J38)</f>
        <v>60</v>
      </c>
      <c r="K39" s="239">
        <f>K37</f>
        <v>52</v>
      </c>
      <c r="L39" s="242">
        <f>AVERAGE(J39:K39)</f>
        <v>56</v>
      </c>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29.xml><?xml version="1.0" encoding="utf-8"?>
<worksheet xmlns="http://schemas.openxmlformats.org/spreadsheetml/2006/main" xmlns:r="http://schemas.openxmlformats.org/officeDocument/2006/relationships">
  <sheetPr codeName="Sheet52"/>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1" style="17" bestFit="1" customWidth="1"/>
    <col min="13" max="16384" width="9.140625" style="17"/>
  </cols>
  <sheetData>
    <row r="1" spans="1:19" s="20" customFormat="1" ht="21" customHeight="1">
      <c r="A1" s="302" t="s">
        <v>136</v>
      </c>
      <c r="B1" s="303"/>
      <c r="D1" s="25" t="s">
        <v>134</v>
      </c>
      <c r="E1" s="89" t="str">
        <f>VLOOKUP($K$1,'BMP info'!A:G,3,FALSE)</f>
        <v>Loafing Lot Management</v>
      </c>
      <c r="I1" s="22"/>
      <c r="J1" s="37" t="s">
        <v>135</v>
      </c>
      <c r="K1" s="50">
        <v>20</v>
      </c>
      <c r="L1" s="22"/>
      <c r="M1" s="22"/>
      <c r="N1" s="22"/>
      <c r="O1" s="22"/>
      <c r="P1" s="22"/>
      <c r="Q1" s="22"/>
      <c r="R1" s="22"/>
    </row>
    <row r="2" spans="1:19" s="20" customFormat="1" ht="12.75" customHeight="1">
      <c r="D2" s="48" t="s">
        <v>3</v>
      </c>
      <c r="E2" s="19" t="str">
        <f>VLOOKUP($K$1,'BMP info'!A:G,4,FALSE)</f>
        <v>LoafLot</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efficiency applied</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435.00546172590549</v>
      </c>
      <c r="E13" s="29">
        <f t="shared" si="0"/>
        <v>61.398201831778849</v>
      </c>
      <c r="F13" s="51">
        <f t="shared" si="0"/>
        <v>1365.4314763465256</v>
      </c>
      <c r="G13" s="305" t="s">
        <v>254</v>
      </c>
      <c r="H13" s="300"/>
      <c r="J13" s="24" t="s">
        <v>9</v>
      </c>
      <c r="K13" s="28">
        <f t="shared" ref="K13:M16" si="1">IF(K27*$D$34=0,"-",1000*K27/$D$34)</f>
        <v>434.34165196201997</v>
      </c>
      <c r="L13" s="29">
        <f t="shared" si="1"/>
        <v>61.305772624149235</v>
      </c>
      <c r="M13" s="51">
        <f t="shared" si="1"/>
        <v>884.79959667254855</v>
      </c>
      <c r="N13" s="305" t="s">
        <v>133</v>
      </c>
      <c r="O13" s="300"/>
    </row>
    <row r="14" spans="1:19">
      <c r="C14" s="24" t="s">
        <v>7</v>
      </c>
      <c r="D14" s="31">
        <f t="shared" si="0"/>
        <v>100.31930089908411</v>
      </c>
      <c r="E14" s="32">
        <f t="shared" si="0"/>
        <v>14.3265271825897</v>
      </c>
      <c r="F14" s="52">
        <f t="shared" si="0"/>
        <v>427.69515166792712</v>
      </c>
      <c r="G14" s="301"/>
      <c r="H14" s="300"/>
      <c r="J14" s="24" t="s">
        <v>7</v>
      </c>
      <c r="K14" s="31">
        <f t="shared" si="1"/>
        <v>89.967229644567695</v>
      </c>
      <c r="L14" s="32">
        <f t="shared" si="1"/>
        <v>13.124947483404757</v>
      </c>
      <c r="M14" s="52">
        <f t="shared" si="1"/>
        <v>299.13452651037733</v>
      </c>
      <c r="N14" s="301"/>
      <c r="O14" s="300"/>
    </row>
    <row r="15" spans="1:19">
      <c r="C15" s="24" t="s">
        <v>8</v>
      </c>
      <c r="D15" s="31">
        <f t="shared" si="0"/>
        <v>21.586421309133687</v>
      </c>
      <c r="E15" s="32">
        <f t="shared" si="0"/>
        <v>3.3022435089488282</v>
      </c>
      <c r="F15" s="52">
        <f t="shared" si="0"/>
        <v>167.2128392572053</v>
      </c>
      <c r="G15" s="301"/>
      <c r="H15" s="300"/>
      <c r="J15" s="24" t="s">
        <v>8</v>
      </c>
      <c r="K15" s="31">
        <f t="shared" si="1"/>
        <v>21.493992101504077</v>
      </c>
      <c r="L15" s="32">
        <f t="shared" si="1"/>
        <v>3.2938408537097725</v>
      </c>
      <c r="M15" s="52">
        <f t="shared" si="1"/>
        <v>148.72699773128309</v>
      </c>
      <c r="N15" s="301"/>
      <c r="O15" s="300"/>
    </row>
    <row r="16" spans="1:19" ht="13.5" thickBot="1">
      <c r="C16" s="24" t="s">
        <v>6</v>
      </c>
      <c r="D16" s="34">
        <f t="shared" si="0"/>
        <v>3.7559868918578272</v>
      </c>
      <c r="E16" s="35">
        <f t="shared" si="0"/>
        <v>0.66380976388538782</v>
      </c>
      <c r="F16" s="53">
        <f t="shared" si="0"/>
        <v>10.923451810772205</v>
      </c>
      <c r="G16" s="301"/>
      <c r="H16" s="300"/>
      <c r="J16" s="24" t="s">
        <v>6</v>
      </c>
      <c r="K16" s="34">
        <f t="shared" si="1"/>
        <v>0.65540710864633234</v>
      </c>
      <c r="L16" s="35">
        <f t="shared" si="1"/>
        <v>0.54617259053861023</v>
      </c>
      <c r="M16" s="53">
        <f t="shared" si="1"/>
        <v>10.923451810772205</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2.2988217114158775</v>
      </c>
      <c r="E20" s="29">
        <f t="shared" si="2"/>
        <v>16.287121937867798</v>
      </c>
      <c r="F20" s="51">
        <f t="shared" si="2"/>
        <v>0.73236923076923066</v>
      </c>
      <c r="G20" s="305" t="s">
        <v>253</v>
      </c>
      <c r="H20" s="300"/>
      <c r="J20" s="24" t="s">
        <v>9</v>
      </c>
      <c r="K20" s="28">
        <f t="shared" ref="K20:M23" si="3">IF(K27=0,"-",$D$34/K27)</f>
        <v>2.302335029308777</v>
      </c>
      <c r="L20" s="29">
        <f t="shared" si="3"/>
        <v>16.311677631578949</v>
      </c>
      <c r="M20" s="51">
        <f t="shared" si="3"/>
        <v>1.13019943019943</v>
      </c>
      <c r="N20" s="305" t="s">
        <v>132</v>
      </c>
      <c r="O20" s="300"/>
    </row>
    <row r="21" spans="1:16">
      <c r="C21" s="24" t="s">
        <v>7</v>
      </c>
      <c r="D21" s="31">
        <f t="shared" si="2"/>
        <v>9.9681715386548273</v>
      </c>
      <c r="E21" s="32">
        <f t="shared" si="2"/>
        <v>69.800586510263926</v>
      </c>
      <c r="F21" s="52">
        <f t="shared" si="2"/>
        <v>2.3381139489194496</v>
      </c>
      <c r="G21" s="301"/>
      <c r="H21" s="300"/>
      <c r="J21" s="24" t="s">
        <v>7</v>
      </c>
      <c r="K21" s="31">
        <f t="shared" si="3"/>
        <v>11.115158307649201</v>
      </c>
      <c r="L21" s="32">
        <f t="shared" si="3"/>
        <v>76.190781049935978</v>
      </c>
      <c r="M21" s="52">
        <f t="shared" si="3"/>
        <v>3.3429775280898872</v>
      </c>
      <c r="N21" s="301"/>
      <c r="O21" s="300"/>
    </row>
    <row r="22" spans="1:16">
      <c r="C22" s="24" t="s">
        <v>8</v>
      </c>
      <c r="D22" s="31">
        <f t="shared" si="2"/>
        <v>46.325418450759045</v>
      </c>
      <c r="E22" s="32">
        <f t="shared" si="2"/>
        <v>302.82442748091597</v>
      </c>
      <c r="F22" s="52">
        <f t="shared" si="2"/>
        <v>5.9804020100502511</v>
      </c>
      <c r="G22" s="301"/>
      <c r="H22" s="300"/>
      <c r="J22" s="24" t="s">
        <v>8</v>
      </c>
      <c r="K22" s="31">
        <f t="shared" si="3"/>
        <v>46.524628616106334</v>
      </c>
      <c r="L22" s="32">
        <f t="shared" si="3"/>
        <v>303.59693877551018</v>
      </c>
      <c r="M22" s="52">
        <f t="shared" si="3"/>
        <v>6.7237288135593216</v>
      </c>
      <c r="N22" s="301"/>
      <c r="O22" s="300"/>
    </row>
    <row r="23" spans="1:16" ht="13.5" thickBot="1">
      <c r="C23" s="24" t="s">
        <v>6</v>
      </c>
      <c r="D23" s="34">
        <f t="shared" si="2"/>
        <v>266.24161073825502</v>
      </c>
      <c r="E23" s="35">
        <f t="shared" si="2"/>
        <v>1506.4556962025315</v>
      </c>
      <c r="F23" s="53">
        <f t="shared" si="2"/>
        <v>91.546153846153842</v>
      </c>
      <c r="G23" s="301"/>
      <c r="H23" s="300"/>
      <c r="J23" s="24" t="s">
        <v>6</v>
      </c>
      <c r="K23" s="34">
        <f t="shared" si="3"/>
        <v>1525.7692307692305</v>
      </c>
      <c r="L23" s="35">
        <f t="shared" si="3"/>
        <v>1830.9230769230767</v>
      </c>
      <c r="M23" s="53">
        <f t="shared" si="3"/>
        <v>91.546153846153842</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517.70000000000005</v>
      </c>
      <c r="E27" s="209">
        <v>73.069999999999993</v>
      </c>
      <c r="F27" s="210">
        <v>1625</v>
      </c>
      <c r="G27" s="305" t="str">
        <f>"EOS pounds removed per '"&amp;E3&amp;"' of practice per year"</f>
        <v>EOS pounds removed per 'acre' of practice per year</v>
      </c>
      <c r="H27" s="300"/>
      <c r="J27" s="24" t="s">
        <v>9</v>
      </c>
      <c r="K27" s="56">
        <v>516.91</v>
      </c>
      <c r="L27" s="209">
        <v>72.959999999999994</v>
      </c>
      <c r="M27" s="210">
        <v>1053</v>
      </c>
      <c r="N27" s="299" t="str">
        <f>"delivered pounds removed per '"&amp;E3&amp;"' of practice per year"</f>
        <v>delivered pounds removed per 'acre' of practice per year</v>
      </c>
      <c r="O27" s="300"/>
      <c r="P27" s="204"/>
    </row>
    <row r="28" spans="1:16">
      <c r="C28" s="24" t="s">
        <v>7</v>
      </c>
      <c r="D28" s="211">
        <v>119.39</v>
      </c>
      <c r="E28" s="212">
        <v>17.05</v>
      </c>
      <c r="F28" s="213">
        <v>509</v>
      </c>
      <c r="G28" s="301"/>
      <c r="H28" s="300"/>
      <c r="J28" s="24" t="s">
        <v>7</v>
      </c>
      <c r="K28" s="57">
        <v>107.07</v>
      </c>
      <c r="L28" s="212">
        <v>15.62</v>
      </c>
      <c r="M28" s="213">
        <v>356</v>
      </c>
      <c r="N28" s="301"/>
      <c r="O28" s="300"/>
      <c r="P28" s="204"/>
    </row>
    <row r="29" spans="1:16">
      <c r="C29" s="24" t="s">
        <v>8</v>
      </c>
      <c r="D29" s="211">
        <v>25.69</v>
      </c>
      <c r="E29" s="212">
        <v>3.93</v>
      </c>
      <c r="F29" s="213">
        <v>199</v>
      </c>
      <c r="G29" s="301"/>
      <c r="H29" s="300"/>
      <c r="J29" s="24" t="s">
        <v>8</v>
      </c>
      <c r="K29" s="57">
        <v>25.58</v>
      </c>
      <c r="L29" s="212">
        <v>3.92</v>
      </c>
      <c r="M29" s="213">
        <v>177</v>
      </c>
      <c r="N29" s="301"/>
      <c r="O29" s="300"/>
      <c r="P29" s="204"/>
    </row>
    <row r="30" spans="1:16" ht="13.5" thickBot="1">
      <c r="C30" s="24" t="s">
        <v>6</v>
      </c>
      <c r="D30" s="214">
        <v>4.47</v>
      </c>
      <c r="E30" s="215">
        <v>0.79</v>
      </c>
      <c r="F30" s="216">
        <v>13</v>
      </c>
      <c r="G30" s="301"/>
      <c r="H30" s="300"/>
      <c r="J30" s="24" t="s">
        <v>6</v>
      </c>
      <c r="K30" s="58">
        <v>0.78</v>
      </c>
      <c r="L30" s="215">
        <v>0.65</v>
      </c>
      <c r="M30" s="216">
        <v>13</v>
      </c>
      <c r="N30" s="301"/>
      <c r="O30" s="300"/>
      <c r="P30" s="204"/>
    </row>
    <row r="31" spans="1:16" ht="13.5" thickBot="1"/>
    <row r="32" spans="1:16" s="42" customFormat="1">
      <c r="A32" s="86" t="s">
        <v>1</v>
      </c>
    </row>
    <row r="33" spans="1:12" ht="5.25" customHeight="1" thickBot="1"/>
    <row r="34" spans="1:12" ht="13.5" thickBot="1">
      <c r="C34" s="24" t="s">
        <v>11</v>
      </c>
      <c r="D34" s="46">
        <f>-PMT(D39,D38,D36)+D37</f>
        <v>1190.0999999999999</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L36</f>
        <v>11901</v>
      </c>
      <c r="E36" s="18" t="str">
        <f>"$ per '"&amp;E3&amp;"' of practice"</f>
        <v>$ per 'acre' of practice</v>
      </c>
      <c r="I36" s="78" t="s">
        <v>162</v>
      </c>
      <c r="J36" s="236">
        <v>8802</v>
      </c>
      <c r="K36" s="236">
        <v>15000</v>
      </c>
      <c r="L36" s="241">
        <f>AVERAGE(J36:K36)</f>
        <v>11901</v>
      </c>
    </row>
    <row r="37" spans="1:12">
      <c r="C37" s="24" t="s">
        <v>12</v>
      </c>
      <c r="D37" s="39">
        <f>L37</f>
        <v>0</v>
      </c>
      <c r="E37" s="18" t="str">
        <f>"$ per '"&amp;E3&amp;"' of practice per year"</f>
        <v>$ per 'acre' of practice per year</v>
      </c>
      <c r="I37" s="78" t="s">
        <v>161</v>
      </c>
      <c r="J37" s="236">
        <v>0</v>
      </c>
      <c r="K37" s="236">
        <v>0</v>
      </c>
      <c r="L37" s="241">
        <f>AVERAGE(J37:K37)</f>
        <v>0</v>
      </c>
    </row>
    <row r="38" spans="1:12">
      <c r="C38" s="24" t="s">
        <v>13</v>
      </c>
      <c r="D38" s="40">
        <f>L38</f>
        <v>10</v>
      </c>
      <c r="E38" s="18" t="s">
        <v>15</v>
      </c>
      <c r="I38" s="78" t="s">
        <v>163</v>
      </c>
      <c r="J38" s="245">
        <v>10</v>
      </c>
      <c r="K38" s="245">
        <v>10</v>
      </c>
      <c r="L38" s="247">
        <f>AVERAGE(J38:K38)</f>
        <v>10</v>
      </c>
    </row>
    <row r="39" spans="1:12" ht="13.5" thickBot="1">
      <c r="C39" s="24" t="s">
        <v>14</v>
      </c>
      <c r="D39" s="41">
        <f>Summary!C35</f>
        <v>0</v>
      </c>
      <c r="E39" s="18" t="s">
        <v>16</v>
      </c>
      <c r="I39" s="80" t="s">
        <v>166</v>
      </c>
      <c r="J39" s="239">
        <f>J37+(J36/J38)</f>
        <v>880.2</v>
      </c>
      <c r="K39" s="239">
        <f>K37+(K36/K38)</f>
        <v>1500</v>
      </c>
      <c r="L39" s="242"/>
    </row>
    <row r="40" spans="1:12">
      <c r="F40" s="234"/>
    </row>
    <row r="41" spans="1:12">
      <c r="I41" s="304" t="s">
        <v>227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1">
    <pageSetUpPr fitToPage="1"/>
  </sheetPr>
  <dimension ref="A1:N68"/>
  <sheetViews>
    <sheetView zoomScale="85" workbookViewId="0">
      <pane xSplit="4" ySplit="1" topLeftCell="E2" activePane="bottomRight" state="frozenSplit"/>
      <selection sqref="A1:F1"/>
      <selection pane="topRight" sqref="A1:F1"/>
      <selection pane="bottomLeft" sqref="A1:F1"/>
      <selection pane="bottomRight" activeCell="A68" sqref="A68"/>
    </sheetView>
  </sheetViews>
  <sheetFormatPr defaultRowHeight="12.75"/>
  <cols>
    <col min="1" max="1" width="7.7109375" style="1" bestFit="1" customWidth="1"/>
    <col min="2" max="2" width="9" style="1" customWidth="1"/>
    <col min="3" max="3" width="45.7109375" style="1" customWidth="1"/>
    <col min="4" max="4" width="21.42578125" style="1" customWidth="1"/>
    <col min="5" max="5" width="13.42578125" style="1" bestFit="1" customWidth="1"/>
    <col min="6" max="6" width="11.85546875" style="1" customWidth="1"/>
    <col min="7" max="7" width="8.28515625" style="1" customWidth="1"/>
    <col min="8" max="8" width="4.28515625" style="17" customWidth="1"/>
    <col min="9" max="9" width="7.7109375" style="1" customWidth="1"/>
    <col min="10" max="10" width="7.7109375" style="1" bestFit="1" customWidth="1"/>
    <col min="11" max="13" width="7.7109375" style="1" customWidth="1"/>
    <col min="14" max="14" width="7.85546875" style="1" customWidth="1"/>
    <col min="15" max="16384" width="9.140625" style="1"/>
  </cols>
  <sheetData>
    <row r="1" spans="1:14" s="60" customFormat="1" ht="27" thickTop="1" thickBot="1">
      <c r="A1" s="2" t="s">
        <v>0</v>
      </c>
      <c r="B1" s="10" t="s">
        <v>68</v>
      </c>
      <c r="C1" s="9" t="s">
        <v>71</v>
      </c>
      <c r="D1" s="3" t="s">
        <v>72</v>
      </c>
      <c r="E1" s="3" t="s">
        <v>79</v>
      </c>
      <c r="F1" s="87" t="s">
        <v>170</v>
      </c>
      <c r="G1" s="4" t="s">
        <v>53</v>
      </c>
      <c r="H1" s="18"/>
      <c r="I1" s="182" t="s">
        <v>160</v>
      </c>
      <c r="J1" s="183" t="s">
        <v>167</v>
      </c>
      <c r="K1" s="183" t="s">
        <v>164</v>
      </c>
      <c r="L1" s="183" t="s">
        <v>266</v>
      </c>
      <c r="M1" s="184" t="s">
        <v>224</v>
      </c>
      <c r="N1" s="185" t="s">
        <v>229</v>
      </c>
    </row>
    <row r="2" spans="1:14" ht="26.25" customHeight="1">
      <c r="A2" s="7">
        <v>1</v>
      </c>
      <c r="B2" s="11" t="s">
        <v>60</v>
      </c>
      <c r="C2" s="71" t="s">
        <v>115</v>
      </c>
      <c r="D2" s="126" t="s">
        <v>116</v>
      </c>
      <c r="E2" s="127" t="s">
        <v>219</v>
      </c>
      <c r="F2" s="203" t="s">
        <v>178</v>
      </c>
      <c r="G2" s="128" t="s">
        <v>54</v>
      </c>
      <c r="I2" s="179" t="s">
        <v>222</v>
      </c>
      <c r="J2" s="180"/>
      <c r="K2" s="180" t="s">
        <v>222</v>
      </c>
      <c r="L2" s="180"/>
      <c r="M2" s="180"/>
      <c r="N2" s="181"/>
    </row>
    <row r="3" spans="1:14" ht="26.25" customHeight="1">
      <c r="A3" s="8">
        <v>2</v>
      </c>
      <c r="B3" s="12" t="s">
        <v>60</v>
      </c>
      <c r="C3" s="71" t="s">
        <v>75</v>
      </c>
      <c r="D3" s="66" t="s">
        <v>76</v>
      </c>
      <c r="E3" s="72" t="s">
        <v>219</v>
      </c>
      <c r="F3" s="88" t="s">
        <v>178</v>
      </c>
      <c r="G3" s="5" t="s">
        <v>54</v>
      </c>
      <c r="I3" s="172" t="s">
        <v>222</v>
      </c>
      <c r="J3" s="173"/>
      <c r="K3" s="173" t="s">
        <v>222</v>
      </c>
      <c r="L3" s="173"/>
      <c r="M3" s="173"/>
      <c r="N3" s="174"/>
    </row>
    <row r="4" spans="1:14" ht="26.25" customHeight="1">
      <c r="A4" s="8">
        <v>3</v>
      </c>
      <c r="B4" s="12" t="s">
        <v>60</v>
      </c>
      <c r="C4" s="71" t="s">
        <v>77</v>
      </c>
      <c r="D4" s="66" t="s">
        <v>78</v>
      </c>
      <c r="E4" s="72" t="s">
        <v>184</v>
      </c>
      <c r="F4" s="88" t="s">
        <v>176</v>
      </c>
      <c r="G4" s="5" t="s">
        <v>55</v>
      </c>
      <c r="I4" s="172" t="s">
        <v>222</v>
      </c>
      <c r="J4" s="173"/>
      <c r="K4" s="173" t="s">
        <v>222</v>
      </c>
      <c r="L4" s="173"/>
      <c r="M4" s="173"/>
      <c r="N4" s="174"/>
    </row>
    <row r="5" spans="1:14" ht="26.25" customHeight="1">
      <c r="A5" s="8">
        <v>4</v>
      </c>
      <c r="B5" s="12" t="s">
        <v>60</v>
      </c>
      <c r="C5" s="71" t="s">
        <v>98</v>
      </c>
      <c r="D5" s="66" t="s">
        <v>99</v>
      </c>
      <c r="E5" s="72" t="s">
        <v>184</v>
      </c>
      <c r="F5" s="88" t="s">
        <v>176</v>
      </c>
      <c r="G5" s="5" t="s">
        <v>55</v>
      </c>
      <c r="I5" s="172"/>
      <c r="J5" s="173"/>
      <c r="K5" s="173" t="s">
        <v>222</v>
      </c>
      <c r="L5" s="173"/>
      <c r="M5" s="173"/>
      <c r="N5" s="174"/>
    </row>
    <row r="6" spans="1:14" ht="26.25" customHeight="1">
      <c r="A6" s="8">
        <v>5</v>
      </c>
      <c r="B6" s="12" t="s">
        <v>60</v>
      </c>
      <c r="C6" s="71" t="s">
        <v>73</v>
      </c>
      <c r="D6" s="66" t="s">
        <v>74</v>
      </c>
      <c r="E6" s="72" t="s">
        <v>184</v>
      </c>
      <c r="F6" s="88" t="s">
        <v>171</v>
      </c>
      <c r="G6" s="5" t="s">
        <v>55</v>
      </c>
      <c r="I6" s="172" t="s">
        <v>222</v>
      </c>
      <c r="J6" s="173"/>
      <c r="K6" s="173" t="s">
        <v>222</v>
      </c>
      <c r="L6" s="173"/>
      <c r="M6" s="173"/>
      <c r="N6" s="174"/>
    </row>
    <row r="7" spans="1:14" ht="26.25" customHeight="1">
      <c r="A7" s="8">
        <v>6</v>
      </c>
      <c r="B7" s="12" t="s">
        <v>60</v>
      </c>
      <c r="C7" s="71" t="s">
        <v>94</v>
      </c>
      <c r="D7" s="66" t="s">
        <v>95</v>
      </c>
      <c r="E7" s="72" t="s">
        <v>184</v>
      </c>
      <c r="F7" s="88" t="s">
        <v>176</v>
      </c>
      <c r="G7" s="5" t="s">
        <v>55</v>
      </c>
      <c r="I7" s="172"/>
      <c r="J7" s="173"/>
      <c r="K7" s="173" t="s">
        <v>222</v>
      </c>
      <c r="L7" s="173"/>
      <c r="M7" s="173"/>
      <c r="N7" s="174"/>
    </row>
    <row r="8" spans="1:14" ht="26.25" customHeight="1">
      <c r="A8" s="8">
        <v>7</v>
      </c>
      <c r="B8" s="12" t="s">
        <v>60</v>
      </c>
      <c r="C8" s="71" t="s">
        <v>123</v>
      </c>
      <c r="D8" s="66" t="s">
        <v>124</v>
      </c>
      <c r="E8" s="72" t="s">
        <v>184</v>
      </c>
      <c r="F8" s="88" t="s">
        <v>176</v>
      </c>
      <c r="G8" s="5" t="s">
        <v>55</v>
      </c>
      <c r="I8" s="172" t="s">
        <v>222</v>
      </c>
      <c r="J8" s="173"/>
      <c r="K8" s="173" t="s">
        <v>222</v>
      </c>
      <c r="L8" s="173"/>
      <c r="M8" s="173"/>
      <c r="N8" s="174"/>
    </row>
    <row r="9" spans="1:14" ht="26.25" customHeight="1">
      <c r="A9" s="8">
        <v>8</v>
      </c>
      <c r="B9" s="12" t="s">
        <v>60</v>
      </c>
      <c r="C9" s="71" t="s">
        <v>188</v>
      </c>
      <c r="D9" s="66" t="s">
        <v>187</v>
      </c>
      <c r="E9" s="72" t="s">
        <v>184</v>
      </c>
      <c r="F9" s="88" t="s">
        <v>171</v>
      </c>
      <c r="G9" s="5" t="s">
        <v>55</v>
      </c>
      <c r="I9" s="172" t="s">
        <v>222</v>
      </c>
      <c r="J9" s="173"/>
      <c r="K9" s="173" t="s">
        <v>222</v>
      </c>
      <c r="L9" s="173"/>
      <c r="M9" s="173"/>
      <c r="N9" s="174"/>
    </row>
    <row r="10" spans="1:14" ht="26.25" customHeight="1">
      <c r="A10" s="8">
        <v>9</v>
      </c>
      <c r="B10" s="12" t="s">
        <v>60</v>
      </c>
      <c r="C10" s="71" t="s">
        <v>80</v>
      </c>
      <c r="D10" s="66" t="s">
        <v>81</v>
      </c>
      <c r="E10" s="72" t="s">
        <v>184</v>
      </c>
      <c r="F10" s="88" t="s">
        <v>176</v>
      </c>
      <c r="G10" s="5" t="s">
        <v>55</v>
      </c>
      <c r="I10" s="172" t="s">
        <v>222</v>
      </c>
      <c r="J10" s="173" t="s">
        <v>222</v>
      </c>
      <c r="K10" s="173" t="s">
        <v>222</v>
      </c>
      <c r="L10" s="173"/>
      <c r="M10" s="173"/>
      <c r="N10" s="174"/>
    </row>
    <row r="11" spans="1:14" ht="26.25" customHeight="1">
      <c r="A11" s="8">
        <v>10</v>
      </c>
      <c r="B11" s="12" t="s">
        <v>60</v>
      </c>
      <c r="C11" s="71" t="s">
        <v>82</v>
      </c>
      <c r="D11" s="66" t="s">
        <v>83</v>
      </c>
      <c r="E11" s="72" t="s">
        <v>184</v>
      </c>
      <c r="F11" s="88" t="s">
        <v>176</v>
      </c>
      <c r="G11" s="5" t="s">
        <v>55</v>
      </c>
      <c r="I11" s="172" t="s">
        <v>222</v>
      </c>
      <c r="J11" s="173"/>
      <c r="K11" s="173" t="s">
        <v>222</v>
      </c>
      <c r="L11" s="173"/>
      <c r="M11" s="173"/>
      <c r="N11" s="174"/>
    </row>
    <row r="12" spans="1:14" ht="26.25" customHeight="1">
      <c r="A12" s="8">
        <v>11</v>
      </c>
      <c r="B12" s="12" t="s">
        <v>60</v>
      </c>
      <c r="C12" s="71" t="s">
        <v>86</v>
      </c>
      <c r="D12" s="66" t="s">
        <v>87</v>
      </c>
      <c r="E12" s="72" t="s">
        <v>184</v>
      </c>
      <c r="F12" s="88" t="s">
        <v>172</v>
      </c>
      <c r="G12" s="5" t="s">
        <v>54</v>
      </c>
      <c r="I12" s="172" t="s">
        <v>222</v>
      </c>
      <c r="J12" s="173"/>
      <c r="K12" s="173" t="s">
        <v>222</v>
      </c>
      <c r="L12" s="173"/>
      <c r="M12" s="173"/>
      <c r="N12" s="174"/>
    </row>
    <row r="13" spans="1:14" ht="26.25" customHeight="1">
      <c r="A13" s="8">
        <v>12</v>
      </c>
      <c r="B13" s="12" t="s">
        <v>60</v>
      </c>
      <c r="C13" s="71" t="s">
        <v>65</v>
      </c>
      <c r="D13" s="66" t="s">
        <v>125</v>
      </c>
      <c r="E13" s="72" t="s">
        <v>184</v>
      </c>
      <c r="F13" s="88" t="s">
        <v>176</v>
      </c>
      <c r="G13" s="5" t="s">
        <v>55</v>
      </c>
      <c r="I13" s="172"/>
      <c r="J13" s="173"/>
      <c r="K13" s="173" t="s">
        <v>222</v>
      </c>
      <c r="L13" s="173"/>
      <c r="M13" s="173"/>
      <c r="N13" s="174"/>
    </row>
    <row r="14" spans="1:14" ht="26.25" customHeight="1">
      <c r="A14" s="8">
        <v>13</v>
      </c>
      <c r="B14" s="12" t="s">
        <v>60</v>
      </c>
      <c r="C14" s="71" t="s">
        <v>88</v>
      </c>
      <c r="D14" s="66" t="s">
        <v>89</v>
      </c>
      <c r="E14" s="72" t="s">
        <v>184</v>
      </c>
      <c r="F14" s="88" t="s">
        <v>172</v>
      </c>
      <c r="G14" s="5" t="s">
        <v>54</v>
      </c>
      <c r="I14" s="172" t="s">
        <v>222</v>
      </c>
      <c r="J14" s="173"/>
      <c r="K14" s="173" t="s">
        <v>222</v>
      </c>
      <c r="L14" s="173"/>
      <c r="M14" s="173"/>
      <c r="N14" s="174"/>
    </row>
    <row r="15" spans="1:14" ht="26.25" customHeight="1">
      <c r="A15" s="8">
        <v>14</v>
      </c>
      <c r="B15" s="12" t="s">
        <v>60</v>
      </c>
      <c r="C15" s="71" t="s">
        <v>90</v>
      </c>
      <c r="D15" s="66" t="s">
        <v>91</v>
      </c>
      <c r="E15" s="72" t="s">
        <v>184</v>
      </c>
      <c r="F15" s="88" t="s">
        <v>172</v>
      </c>
      <c r="G15" s="5" t="s">
        <v>55</v>
      </c>
      <c r="I15" s="172" t="s">
        <v>222</v>
      </c>
      <c r="J15" s="173" t="s">
        <v>222</v>
      </c>
      <c r="K15" s="173" t="s">
        <v>222</v>
      </c>
      <c r="L15" s="173"/>
      <c r="M15" s="173"/>
      <c r="N15" s="174"/>
    </row>
    <row r="16" spans="1:14" ht="26.25" customHeight="1">
      <c r="A16" s="8">
        <v>15</v>
      </c>
      <c r="B16" s="12" t="s">
        <v>60</v>
      </c>
      <c r="C16" s="71" t="s">
        <v>92</v>
      </c>
      <c r="D16" s="66" t="s">
        <v>93</v>
      </c>
      <c r="E16" s="72" t="s">
        <v>184</v>
      </c>
      <c r="F16" s="88" t="s">
        <v>172</v>
      </c>
      <c r="G16" s="5" t="s">
        <v>55</v>
      </c>
      <c r="I16" s="172" t="s">
        <v>222</v>
      </c>
      <c r="J16" s="173" t="s">
        <v>222</v>
      </c>
      <c r="K16" s="173" t="s">
        <v>222</v>
      </c>
      <c r="L16" s="173"/>
      <c r="M16" s="173"/>
      <c r="N16" s="174"/>
    </row>
    <row r="17" spans="1:14" ht="26.25" customHeight="1">
      <c r="A17" s="8">
        <v>16</v>
      </c>
      <c r="B17" s="12" t="s">
        <v>60</v>
      </c>
      <c r="C17" s="71" t="s">
        <v>96</v>
      </c>
      <c r="D17" s="66" t="s">
        <v>97</v>
      </c>
      <c r="E17" s="72" t="s">
        <v>184</v>
      </c>
      <c r="F17" s="88" t="s">
        <v>176</v>
      </c>
      <c r="G17" s="5" t="s">
        <v>55</v>
      </c>
      <c r="I17" s="172" t="s">
        <v>222</v>
      </c>
      <c r="J17" s="173"/>
      <c r="K17" s="173" t="s">
        <v>222</v>
      </c>
      <c r="L17" s="173"/>
      <c r="M17" s="173"/>
      <c r="N17" s="174"/>
    </row>
    <row r="18" spans="1:14" ht="26.25" customHeight="1">
      <c r="A18" s="8">
        <v>17</v>
      </c>
      <c r="B18" s="12" t="s">
        <v>60</v>
      </c>
      <c r="C18" s="71" t="s">
        <v>100</v>
      </c>
      <c r="D18" s="66" t="s">
        <v>101</v>
      </c>
      <c r="E18" s="72" t="s">
        <v>184</v>
      </c>
      <c r="F18" s="88" t="s">
        <v>171</v>
      </c>
      <c r="G18" s="5" t="s">
        <v>55</v>
      </c>
      <c r="I18" s="172" t="s">
        <v>222</v>
      </c>
      <c r="J18" s="173"/>
      <c r="K18" s="173" t="s">
        <v>222</v>
      </c>
      <c r="L18" s="173"/>
      <c r="M18" s="173"/>
      <c r="N18" s="174"/>
    </row>
    <row r="19" spans="1:14" ht="26.25" customHeight="1">
      <c r="A19" s="8">
        <v>18</v>
      </c>
      <c r="B19" s="12" t="s">
        <v>60</v>
      </c>
      <c r="C19" s="71" t="s">
        <v>102</v>
      </c>
      <c r="D19" s="66" t="s">
        <v>103</v>
      </c>
      <c r="E19" s="72" t="s">
        <v>184</v>
      </c>
      <c r="F19" s="88" t="s">
        <v>171</v>
      </c>
      <c r="G19" s="5" t="s">
        <v>55</v>
      </c>
      <c r="I19" s="172" t="s">
        <v>222</v>
      </c>
      <c r="J19" s="173"/>
      <c r="K19" s="173" t="s">
        <v>222</v>
      </c>
      <c r="L19" s="173"/>
      <c r="M19" s="173"/>
      <c r="N19" s="174"/>
    </row>
    <row r="20" spans="1:14" ht="26.25" customHeight="1">
      <c r="A20" s="8">
        <v>19</v>
      </c>
      <c r="B20" s="12" t="s">
        <v>60</v>
      </c>
      <c r="C20" s="71" t="s">
        <v>256</v>
      </c>
      <c r="D20" s="66" t="s">
        <v>85</v>
      </c>
      <c r="E20" s="72" t="s">
        <v>184</v>
      </c>
      <c r="F20" s="88" t="s">
        <v>176</v>
      </c>
      <c r="G20" s="5" t="s">
        <v>55</v>
      </c>
      <c r="I20" s="172" t="s">
        <v>222</v>
      </c>
      <c r="J20" s="173"/>
      <c r="K20" s="173" t="s">
        <v>222</v>
      </c>
      <c r="L20" s="173"/>
      <c r="M20" s="173"/>
      <c r="N20" s="174"/>
    </row>
    <row r="21" spans="1:14" ht="26.25" customHeight="1">
      <c r="A21" s="8">
        <v>20</v>
      </c>
      <c r="B21" s="12" t="s">
        <v>60</v>
      </c>
      <c r="C21" s="71" t="s">
        <v>104</v>
      </c>
      <c r="D21" s="66" t="s">
        <v>105</v>
      </c>
      <c r="E21" s="72" t="s">
        <v>184</v>
      </c>
      <c r="F21" s="88" t="s">
        <v>176</v>
      </c>
      <c r="G21" s="5" t="s">
        <v>55</v>
      </c>
      <c r="I21" s="172" t="s">
        <v>222</v>
      </c>
      <c r="J21" s="173"/>
      <c r="K21" s="173" t="s">
        <v>222</v>
      </c>
      <c r="L21" s="173"/>
      <c r="M21" s="173"/>
      <c r="N21" s="174"/>
    </row>
    <row r="22" spans="1:14" ht="26.25" customHeight="1">
      <c r="A22" s="8">
        <v>21</v>
      </c>
      <c r="B22" s="12" t="s">
        <v>60</v>
      </c>
      <c r="C22" s="71" t="s">
        <v>106</v>
      </c>
      <c r="D22" s="66" t="s">
        <v>107</v>
      </c>
      <c r="E22" s="72" t="s">
        <v>219</v>
      </c>
      <c r="F22" s="88" t="s">
        <v>178</v>
      </c>
      <c r="G22" s="5" t="s">
        <v>54</v>
      </c>
      <c r="I22" s="172" t="s">
        <v>222</v>
      </c>
      <c r="J22" s="173"/>
      <c r="K22" s="173" t="s">
        <v>222</v>
      </c>
      <c r="L22" s="173"/>
      <c r="M22" s="173"/>
      <c r="N22" s="174"/>
    </row>
    <row r="23" spans="1:14" ht="26.25" customHeight="1">
      <c r="A23" s="8">
        <v>22</v>
      </c>
      <c r="B23" s="12" t="s">
        <v>60</v>
      </c>
      <c r="C23" s="71" t="s">
        <v>64</v>
      </c>
      <c r="D23" s="66" t="s">
        <v>108</v>
      </c>
      <c r="E23" s="72" t="s">
        <v>189</v>
      </c>
      <c r="F23" s="88" t="s">
        <v>174</v>
      </c>
      <c r="G23" s="5" t="s">
        <v>55</v>
      </c>
      <c r="I23" s="172" t="s">
        <v>222</v>
      </c>
      <c r="J23" s="173"/>
      <c r="K23" s="173" t="s">
        <v>222</v>
      </c>
      <c r="L23" s="173"/>
      <c r="M23" s="173"/>
      <c r="N23" s="174"/>
    </row>
    <row r="24" spans="1:14" ht="26.25" customHeight="1">
      <c r="A24" s="8">
        <v>23</v>
      </c>
      <c r="B24" s="12" t="s">
        <v>60</v>
      </c>
      <c r="C24" s="71" t="s">
        <v>109</v>
      </c>
      <c r="D24" s="66" t="s">
        <v>110</v>
      </c>
      <c r="E24" s="72" t="s">
        <v>184</v>
      </c>
      <c r="F24" s="88" t="s">
        <v>171</v>
      </c>
      <c r="G24" s="5" t="s">
        <v>54</v>
      </c>
      <c r="I24" s="172" t="s">
        <v>222</v>
      </c>
      <c r="J24" s="173"/>
      <c r="K24" s="173" t="s">
        <v>222</v>
      </c>
      <c r="L24" s="173"/>
      <c r="M24" s="173"/>
      <c r="N24" s="174"/>
    </row>
    <row r="25" spans="1:14" ht="26.25" customHeight="1">
      <c r="A25" s="8">
        <v>24</v>
      </c>
      <c r="B25" s="12" t="s">
        <v>60</v>
      </c>
      <c r="C25" s="71" t="s">
        <v>111</v>
      </c>
      <c r="D25" s="66" t="s">
        <v>112</v>
      </c>
      <c r="E25" s="72" t="s">
        <v>184</v>
      </c>
      <c r="F25" s="88" t="s">
        <v>176</v>
      </c>
      <c r="G25" s="5" t="s">
        <v>55</v>
      </c>
      <c r="I25" s="172" t="s">
        <v>222</v>
      </c>
      <c r="J25" s="173"/>
      <c r="K25" s="173" t="s">
        <v>222</v>
      </c>
      <c r="L25" s="173"/>
      <c r="M25" s="173"/>
      <c r="N25" s="174"/>
    </row>
    <row r="26" spans="1:14" ht="26.25" customHeight="1">
      <c r="A26" s="8">
        <v>25</v>
      </c>
      <c r="B26" s="12" t="s">
        <v>60</v>
      </c>
      <c r="C26" s="71" t="s">
        <v>126</v>
      </c>
      <c r="D26" s="66" t="s">
        <v>127</v>
      </c>
      <c r="E26" s="72" t="s">
        <v>184</v>
      </c>
      <c r="F26" s="88" t="s">
        <v>171</v>
      </c>
      <c r="G26" s="5" t="s">
        <v>55</v>
      </c>
      <c r="I26" s="172" t="s">
        <v>222</v>
      </c>
      <c r="J26" s="173"/>
      <c r="K26" s="173" t="s">
        <v>222</v>
      </c>
      <c r="L26" s="173"/>
      <c r="M26" s="173"/>
      <c r="N26" s="174"/>
    </row>
    <row r="27" spans="1:14" ht="26.25" customHeight="1">
      <c r="A27" s="8">
        <v>26</v>
      </c>
      <c r="B27" s="12" t="s">
        <v>60</v>
      </c>
      <c r="C27" s="71" t="s">
        <v>257</v>
      </c>
      <c r="D27" s="66" t="s">
        <v>114</v>
      </c>
      <c r="E27" s="72" t="s">
        <v>184</v>
      </c>
      <c r="F27" s="88" t="s">
        <v>176</v>
      </c>
      <c r="G27" s="5" t="s">
        <v>55</v>
      </c>
      <c r="I27" s="172" t="s">
        <v>222</v>
      </c>
      <c r="J27" s="173"/>
      <c r="K27" s="173" t="s">
        <v>222</v>
      </c>
      <c r="L27" s="173"/>
      <c r="M27" s="173"/>
      <c r="N27" s="174"/>
    </row>
    <row r="28" spans="1:14" ht="26.25" customHeight="1">
      <c r="A28" s="8">
        <v>27</v>
      </c>
      <c r="B28" s="12" t="s">
        <v>60</v>
      </c>
      <c r="C28" s="71" t="s">
        <v>117</v>
      </c>
      <c r="D28" s="66" t="s">
        <v>118</v>
      </c>
      <c r="E28" s="72" t="s">
        <v>219</v>
      </c>
      <c r="F28" s="88" t="s">
        <v>178</v>
      </c>
      <c r="G28" s="5" t="s">
        <v>54</v>
      </c>
      <c r="I28" s="172" t="s">
        <v>222</v>
      </c>
      <c r="J28" s="173"/>
      <c r="K28" s="173"/>
      <c r="L28" s="173"/>
      <c r="M28" s="173"/>
      <c r="N28" s="174"/>
    </row>
    <row r="29" spans="1:14" ht="26.25" customHeight="1">
      <c r="A29" s="8">
        <v>28</v>
      </c>
      <c r="B29" s="12" t="s">
        <v>60</v>
      </c>
      <c r="C29" s="71" t="s">
        <v>121</v>
      </c>
      <c r="D29" s="66" t="s">
        <v>122</v>
      </c>
      <c r="E29" s="72" t="s">
        <v>184</v>
      </c>
      <c r="F29" s="88" t="s">
        <v>176</v>
      </c>
      <c r="G29" s="5" t="s">
        <v>55</v>
      </c>
      <c r="I29" s="172" t="s">
        <v>222</v>
      </c>
      <c r="J29" s="173"/>
      <c r="K29" s="173"/>
      <c r="L29" s="173"/>
      <c r="M29" s="173"/>
      <c r="N29" s="174"/>
    </row>
    <row r="30" spans="1:14" ht="26.25" customHeight="1">
      <c r="A30" s="8">
        <v>29</v>
      </c>
      <c r="B30" s="12" t="s">
        <v>60</v>
      </c>
      <c r="C30" s="71" t="s">
        <v>142</v>
      </c>
      <c r="D30" s="66" t="s">
        <v>17</v>
      </c>
      <c r="E30" s="72" t="s">
        <v>184</v>
      </c>
      <c r="F30" s="88" t="s">
        <v>171</v>
      </c>
      <c r="G30" s="5" t="s">
        <v>55</v>
      </c>
      <c r="I30" s="172" t="s">
        <v>222</v>
      </c>
      <c r="J30" s="173"/>
      <c r="K30" s="173" t="s">
        <v>222</v>
      </c>
      <c r="L30" s="173"/>
      <c r="M30" s="173"/>
      <c r="N30" s="174"/>
    </row>
    <row r="31" spans="1:14" ht="26.25" customHeight="1">
      <c r="A31" s="8">
        <v>30</v>
      </c>
      <c r="B31" s="12" t="s">
        <v>60</v>
      </c>
      <c r="C31" s="71" t="s">
        <v>119</v>
      </c>
      <c r="D31" s="66" t="s">
        <v>120</v>
      </c>
      <c r="E31" s="72" t="s">
        <v>184</v>
      </c>
      <c r="F31" s="88" t="s">
        <v>176</v>
      </c>
      <c r="G31" s="5" t="s">
        <v>55</v>
      </c>
      <c r="I31" s="172" t="s">
        <v>222</v>
      </c>
      <c r="J31" s="173"/>
      <c r="K31" s="173"/>
      <c r="L31" s="173"/>
      <c r="M31" s="173"/>
      <c r="N31" s="174"/>
    </row>
    <row r="32" spans="1:14" ht="26.25" customHeight="1">
      <c r="A32" s="8">
        <v>31</v>
      </c>
      <c r="B32" s="12" t="s">
        <v>60</v>
      </c>
      <c r="C32" s="71" t="s">
        <v>18</v>
      </c>
      <c r="D32" s="66" t="s">
        <v>19</v>
      </c>
      <c r="E32" s="72" t="s">
        <v>184</v>
      </c>
      <c r="F32" s="88" t="s">
        <v>176</v>
      </c>
      <c r="G32" s="5" t="s">
        <v>55</v>
      </c>
      <c r="I32" s="172" t="s">
        <v>222</v>
      </c>
      <c r="J32" s="173"/>
      <c r="K32" s="173" t="s">
        <v>222</v>
      </c>
      <c r="L32" s="173"/>
      <c r="M32" s="173"/>
      <c r="N32" s="174"/>
    </row>
    <row r="33" spans="1:14" ht="26.25" customHeight="1">
      <c r="A33" s="8">
        <v>32</v>
      </c>
      <c r="B33" s="12" t="s">
        <v>60</v>
      </c>
      <c r="C33" s="71" t="s">
        <v>20</v>
      </c>
      <c r="D33" s="66" t="s">
        <v>168</v>
      </c>
      <c r="E33" s="72" t="s">
        <v>184</v>
      </c>
      <c r="F33" s="88" t="s">
        <v>172</v>
      </c>
      <c r="G33" s="5" t="s">
        <v>55</v>
      </c>
      <c r="I33" s="172" t="s">
        <v>222</v>
      </c>
      <c r="J33" s="173" t="s">
        <v>222</v>
      </c>
      <c r="K33" s="173" t="s">
        <v>222</v>
      </c>
      <c r="L33" s="173"/>
      <c r="M33" s="173"/>
      <c r="N33" s="174"/>
    </row>
    <row r="34" spans="1:14" ht="26.25" customHeight="1">
      <c r="A34" s="8">
        <v>33</v>
      </c>
      <c r="B34" s="14" t="s">
        <v>57</v>
      </c>
      <c r="C34" s="71" t="s">
        <v>58</v>
      </c>
      <c r="D34" s="130" t="s">
        <v>249</v>
      </c>
      <c r="E34" s="72" t="s">
        <v>186</v>
      </c>
      <c r="F34" s="88" t="s">
        <v>180</v>
      </c>
      <c r="G34" s="5" t="s">
        <v>54</v>
      </c>
      <c r="I34" s="172" t="s">
        <v>222</v>
      </c>
      <c r="J34" s="173"/>
      <c r="K34" s="173" t="s">
        <v>222</v>
      </c>
      <c r="L34" s="173"/>
      <c r="M34" s="173"/>
      <c r="N34" s="174"/>
    </row>
    <row r="35" spans="1:14" ht="26.25" customHeight="1">
      <c r="A35" s="8">
        <v>34</v>
      </c>
      <c r="B35" s="13" t="s">
        <v>70</v>
      </c>
      <c r="C35" s="71" t="s">
        <v>47</v>
      </c>
      <c r="D35" s="66" t="s">
        <v>48</v>
      </c>
      <c r="E35" s="72" t="s">
        <v>184</v>
      </c>
      <c r="F35" s="88" t="s">
        <v>175</v>
      </c>
      <c r="G35" s="5" t="s">
        <v>56</v>
      </c>
      <c r="I35" s="172"/>
      <c r="J35" s="173" t="s">
        <v>222</v>
      </c>
      <c r="K35" s="173"/>
      <c r="L35" s="173" t="s">
        <v>222</v>
      </c>
      <c r="M35" s="173"/>
      <c r="N35" s="174"/>
    </row>
    <row r="36" spans="1:14" ht="26.25" customHeight="1">
      <c r="A36" s="8">
        <v>35</v>
      </c>
      <c r="B36" s="67" t="s">
        <v>61</v>
      </c>
      <c r="C36" s="71" t="s">
        <v>62</v>
      </c>
      <c r="D36" s="66" t="s">
        <v>63</v>
      </c>
      <c r="E36" s="72" t="s">
        <v>248</v>
      </c>
      <c r="F36" s="88" t="s">
        <v>179</v>
      </c>
      <c r="G36" s="243" t="s">
        <v>260</v>
      </c>
      <c r="I36" s="172"/>
      <c r="J36" s="173"/>
      <c r="K36" s="173"/>
      <c r="L36" s="173"/>
      <c r="M36" s="173"/>
      <c r="N36" s="174"/>
    </row>
    <row r="37" spans="1:14" ht="26.25" customHeight="1">
      <c r="A37" s="8" t="s">
        <v>148</v>
      </c>
      <c r="B37" s="15" t="s">
        <v>49</v>
      </c>
      <c r="C37" s="71" t="s">
        <v>141</v>
      </c>
      <c r="D37" s="130" t="s">
        <v>50</v>
      </c>
      <c r="E37" s="72" t="s">
        <v>185</v>
      </c>
      <c r="F37" s="88" t="s">
        <v>173</v>
      </c>
      <c r="G37" s="5" t="s">
        <v>56</v>
      </c>
      <c r="I37" s="172" t="s">
        <v>222</v>
      </c>
      <c r="J37" s="173"/>
      <c r="K37" s="173"/>
      <c r="L37" s="173"/>
      <c r="M37" s="173"/>
      <c r="N37" s="174"/>
    </row>
    <row r="38" spans="1:14" ht="26.25" customHeight="1">
      <c r="A38" s="8" t="s">
        <v>149</v>
      </c>
      <c r="B38" s="15" t="s">
        <v>49</v>
      </c>
      <c r="C38" s="71" t="s">
        <v>145</v>
      </c>
      <c r="D38" s="130" t="s">
        <v>50</v>
      </c>
      <c r="E38" s="72" t="s">
        <v>185</v>
      </c>
      <c r="F38" s="88" t="s">
        <v>173</v>
      </c>
      <c r="G38" s="5" t="s">
        <v>56</v>
      </c>
      <c r="I38" s="172" t="s">
        <v>222</v>
      </c>
      <c r="J38" s="173"/>
      <c r="K38" s="173"/>
      <c r="L38" s="173"/>
      <c r="M38" s="173"/>
      <c r="N38" s="174"/>
    </row>
    <row r="39" spans="1:14" ht="26.25" customHeight="1">
      <c r="A39" s="8" t="s">
        <v>150</v>
      </c>
      <c r="B39" s="15" t="s">
        <v>49</v>
      </c>
      <c r="C39" s="71" t="s">
        <v>157</v>
      </c>
      <c r="D39" s="130" t="s">
        <v>50</v>
      </c>
      <c r="E39" s="72" t="s">
        <v>185</v>
      </c>
      <c r="F39" s="88" t="s">
        <v>173</v>
      </c>
      <c r="G39" s="5" t="s">
        <v>56</v>
      </c>
      <c r="I39" s="172" t="s">
        <v>222</v>
      </c>
      <c r="J39" s="173"/>
      <c r="K39" s="173"/>
      <c r="L39" s="173"/>
      <c r="M39" s="173"/>
      <c r="N39" s="174"/>
    </row>
    <row r="40" spans="1:14" ht="26.25" customHeight="1">
      <c r="A40" s="8" t="s">
        <v>151</v>
      </c>
      <c r="B40" s="15" t="s">
        <v>49</v>
      </c>
      <c r="C40" s="71" t="s">
        <v>143</v>
      </c>
      <c r="D40" s="130" t="s">
        <v>51</v>
      </c>
      <c r="E40" s="72" t="s">
        <v>185</v>
      </c>
      <c r="F40" s="88" t="s">
        <v>173</v>
      </c>
      <c r="G40" s="5" t="s">
        <v>56</v>
      </c>
      <c r="I40" s="172" t="s">
        <v>222</v>
      </c>
      <c r="J40" s="173"/>
      <c r="K40" s="173"/>
      <c r="L40" s="173"/>
      <c r="M40" s="173"/>
      <c r="N40" s="175" t="s">
        <v>222</v>
      </c>
    </row>
    <row r="41" spans="1:14" ht="26.25" customHeight="1">
      <c r="A41" s="8" t="s">
        <v>152</v>
      </c>
      <c r="B41" s="15" t="s">
        <v>49</v>
      </c>
      <c r="C41" s="71" t="s">
        <v>146</v>
      </c>
      <c r="D41" s="130" t="s">
        <v>51</v>
      </c>
      <c r="E41" s="72" t="s">
        <v>185</v>
      </c>
      <c r="F41" s="88" t="s">
        <v>173</v>
      </c>
      <c r="G41" s="5" t="s">
        <v>56</v>
      </c>
      <c r="I41" s="172" t="s">
        <v>222</v>
      </c>
      <c r="J41" s="173"/>
      <c r="K41" s="173"/>
      <c r="L41" s="173"/>
      <c r="M41" s="173"/>
      <c r="N41" s="175" t="s">
        <v>222</v>
      </c>
    </row>
    <row r="42" spans="1:14" ht="26.25" customHeight="1">
      <c r="A42" s="8" t="s">
        <v>153</v>
      </c>
      <c r="B42" s="15" t="s">
        <v>49</v>
      </c>
      <c r="C42" s="71" t="s">
        <v>158</v>
      </c>
      <c r="D42" s="130" t="s">
        <v>51</v>
      </c>
      <c r="E42" s="72" t="s">
        <v>185</v>
      </c>
      <c r="F42" s="88" t="s">
        <v>173</v>
      </c>
      <c r="G42" s="5" t="s">
        <v>56</v>
      </c>
      <c r="I42" s="172" t="s">
        <v>222</v>
      </c>
      <c r="J42" s="173"/>
      <c r="K42" s="173"/>
      <c r="L42" s="173"/>
      <c r="M42" s="173"/>
      <c r="N42" s="175" t="s">
        <v>222</v>
      </c>
    </row>
    <row r="43" spans="1:14" ht="26.25" customHeight="1">
      <c r="A43" s="8" t="s">
        <v>154</v>
      </c>
      <c r="B43" s="15" t="s">
        <v>49</v>
      </c>
      <c r="C43" s="71" t="s">
        <v>144</v>
      </c>
      <c r="D43" s="130" t="s">
        <v>52</v>
      </c>
      <c r="E43" s="72" t="s">
        <v>185</v>
      </c>
      <c r="F43" s="88" t="s">
        <v>173</v>
      </c>
      <c r="G43" s="5" t="s">
        <v>56</v>
      </c>
      <c r="I43" s="172" t="s">
        <v>222</v>
      </c>
      <c r="J43" s="173"/>
      <c r="K43" s="173"/>
      <c r="L43" s="173"/>
      <c r="M43" s="173"/>
      <c r="N43" s="174"/>
    </row>
    <row r="44" spans="1:14" ht="26.25" customHeight="1">
      <c r="A44" s="8" t="s">
        <v>155</v>
      </c>
      <c r="B44" s="15" t="s">
        <v>49</v>
      </c>
      <c r="C44" s="71" t="s">
        <v>147</v>
      </c>
      <c r="D44" s="130" t="s">
        <v>52</v>
      </c>
      <c r="E44" s="72" t="s">
        <v>185</v>
      </c>
      <c r="F44" s="88" t="s">
        <v>173</v>
      </c>
      <c r="G44" s="5" t="s">
        <v>56</v>
      </c>
      <c r="I44" s="172" t="s">
        <v>222</v>
      </c>
      <c r="J44" s="173"/>
      <c r="K44" s="173"/>
      <c r="L44" s="173"/>
      <c r="M44" s="173"/>
      <c r="N44" s="174"/>
    </row>
    <row r="45" spans="1:14" ht="26.25" customHeight="1">
      <c r="A45" s="8" t="s">
        <v>156</v>
      </c>
      <c r="B45" s="15" t="s">
        <v>49</v>
      </c>
      <c r="C45" s="71" t="s">
        <v>159</v>
      </c>
      <c r="D45" s="130" t="s">
        <v>52</v>
      </c>
      <c r="E45" s="72" t="s">
        <v>185</v>
      </c>
      <c r="F45" s="88" t="s">
        <v>173</v>
      </c>
      <c r="G45" s="5" t="s">
        <v>56</v>
      </c>
      <c r="I45" s="172" t="s">
        <v>222</v>
      </c>
      <c r="J45" s="173"/>
      <c r="K45" s="173"/>
      <c r="L45" s="173"/>
      <c r="M45" s="173"/>
      <c r="N45" s="174"/>
    </row>
    <row r="46" spans="1:14" ht="26.25" customHeight="1">
      <c r="A46" s="8">
        <v>39</v>
      </c>
      <c r="B46" s="16" t="s">
        <v>69</v>
      </c>
      <c r="C46" s="71" t="s">
        <v>21</v>
      </c>
      <c r="D46" s="66" t="s">
        <v>22</v>
      </c>
      <c r="E46" s="72" t="s">
        <v>184</v>
      </c>
      <c r="F46" s="88" t="s">
        <v>171</v>
      </c>
      <c r="G46" s="5" t="s">
        <v>56</v>
      </c>
      <c r="I46" s="172"/>
      <c r="J46" s="173"/>
      <c r="K46" s="173"/>
      <c r="L46" s="173"/>
      <c r="M46" s="173"/>
      <c r="N46" s="174"/>
    </row>
    <row r="47" spans="1:14" ht="26.25" customHeight="1">
      <c r="A47" s="8">
        <v>40</v>
      </c>
      <c r="B47" s="16" t="s">
        <v>69</v>
      </c>
      <c r="C47" s="71" t="s">
        <v>290</v>
      </c>
      <c r="D47" s="66" t="s">
        <v>139</v>
      </c>
      <c r="E47" s="72" t="s">
        <v>278</v>
      </c>
      <c r="F47" s="88" t="s">
        <v>177</v>
      </c>
      <c r="G47" s="5" t="s">
        <v>56</v>
      </c>
      <c r="I47" s="172" t="s">
        <v>222</v>
      </c>
      <c r="J47" s="173"/>
      <c r="K47" s="173"/>
      <c r="L47" s="173"/>
      <c r="M47" s="173" t="s">
        <v>222</v>
      </c>
      <c r="N47" s="174"/>
    </row>
    <row r="48" spans="1:14" ht="26.25" customHeight="1">
      <c r="A48" s="8">
        <v>41</v>
      </c>
      <c r="B48" s="16" t="s">
        <v>69</v>
      </c>
      <c r="C48" s="71" t="s">
        <v>280</v>
      </c>
      <c r="D48" s="66" t="s">
        <v>23</v>
      </c>
      <c r="E48" s="72" t="s">
        <v>278</v>
      </c>
      <c r="F48" s="88" t="s">
        <v>177</v>
      </c>
      <c r="G48" s="5" t="s">
        <v>56</v>
      </c>
      <c r="I48" s="172" t="s">
        <v>222</v>
      </c>
      <c r="J48" s="173"/>
      <c r="K48" s="173"/>
      <c r="L48" s="173"/>
      <c r="M48" s="173" t="s">
        <v>222</v>
      </c>
      <c r="N48" s="174"/>
    </row>
    <row r="49" spans="1:14" ht="26.25" customHeight="1">
      <c r="A49" s="8">
        <v>42</v>
      </c>
      <c r="B49" s="16" t="s">
        <v>69</v>
      </c>
      <c r="C49" s="71" t="s">
        <v>281</v>
      </c>
      <c r="D49" s="66" t="s">
        <v>24</v>
      </c>
      <c r="E49" s="72" t="s">
        <v>278</v>
      </c>
      <c r="F49" s="88" t="s">
        <v>177</v>
      </c>
      <c r="G49" s="5" t="s">
        <v>56</v>
      </c>
      <c r="I49" s="172" t="s">
        <v>222</v>
      </c>
      <c r="J49" s="173"/>
      <c r="K49" s="173"/>
      <c r="L49" s="173"/>
      <c r="M49" s="173" t="s">
        <v>222</v>
      </c>
      <c r="N49" s="174"/>
    </row>
    <row r="50" spans="1:14" ht="26.25" customHeight="1">
      <c r="A50" s="8">
        <v>43</v>
      </c>
      <c r="B50" s="16" t="s">
        <v>69</v>
      </c>
      <c r="C50" s="71" t="s">
        <v>26</v>
      </c>
      <c r="D50" s="66" t="s">
        <v>27</v>
      </c>
      <c r="E50" s="72" t="s">
        <v>278</v>
      </c>
      <c r="F50" s="88" t="s">
        <v>177</v>
      </c>
      <c r="G50" s="5" t="s">
        <v>56</v>
      </c>
      <c r="I50" s="172" t="s">
        <v>222</v>
      </c>
      <c r="J50" s="173"/>
      <c r="K50" s="173"/>
      <c r="L50" s="173"/>
      <c r="M50" s="173" t="s">
        <v>222</v>
      </c>
      <c r="N50" s="174"/>
    </row>
    <row r="51" spans="1:14" ht="26.25" customHeight="1">
      <c r="A51" s="8">
        <v>44</v>
      </c>
      <c r="B51" s="16" t="s">
        <v>69</v>
      </c>
      <c r="C51" s="71" t="s">
        <v>66</v>
      </c>
      <c r="D51" s="66" t="s">
        <v>28</v>
      </c>
      <c r="E51" s="72" t="s">
        <v>278</v>
      </c>
      <c r="F51" s="88" t="s">
        <v>177</v>
      </c>
      <c r="G51" s="5" t="s">
        <v>56</v>
      </c>
      <c r="I51" s="172" t="s">
        <v>222</v>
      </c>
      <c r="J51" s="173"/>
      <c r="K51" s="173"/>
      <c r="L51" s="173"/>
      <c r="M51" s="173" t="s">
        <v>222</v>
      </c>
      <c r="N51" s="174"/>
    </row>
    <row r="52" spans="1:14" ht="26.25" customHeight="1">
      <c r="A52" s="8">
        <v>45</v>
      </c>
      <c r="B52" s="16" t="s">
        <v>69</v>
      </c>
      <c r="C52" s="71" t="s">
        <v>282</v>
      </c>
      <c r="D52" s="66" t="s">
        <v>25</v>
      </c>
      <c r="E52" s="72" t="s">
        <v>278</v>
      </c>
      <c r="F52" s="88" t="s">
        <v>177</v>
      </c>
      <c r="G52" s="5" t="s">
        <v>56</v>
      </c>
      <c r="I52" s="172" t="s">
        <v>222</v>
      </c>
      <c r="J52" s="173"/>
      <c r="K52" s="173"/>
      <c r="L52" s="173"/>
      <c r="M52" s="173" t="s">
        <v>222</v>
      </c>
      <c r="N52" s="174"/>
    </row>
    <row r="53" spans="1:14" ht="26.25" customHeight="1">
      <c r="A53" s="8">
        <v>46</v>
      </c>
      <c r="B53" s="16" t="s">
        <v>69</v>
      </c>
      <c r="C53" s="71" t="s">
        <v>283</v>
      </c>
      <c r="D53" s="66" t="s">
        <v>36</v>
      </c>
      <c r="E53" s="72" t="s">
        <v>278</v>
      </c>
      <c r="F53" s="88" t="s">
        <v>177</v>
      </c>
      <c r="G53" s="5" t="s">
        <v>56</v>
      </c>
      <c r="I53" s="172" t="s">
        <v>222</v>
      </c>
      <c r="J53" s="173"/>
      <c r="K53" s="173"/>
      <c r="L53" s="173"/>
      <c r="M53" s="173" t="s">
        <v>222</v>
      </c>
      <c r="N53" s="174"/>
    </row>
    <row r="54" spans="1:14" ht="26.25" customHeight="1">
      <c r="A54" s="8">
        <v>47</v>
      </c>
      <c r="B54" s="16" t="s">
        <v>69</v>
      </c>
      <c r="C54" s="71" t="s">
        <v>37</v>
      </c>
      <c r="D54" s="66" t="s">
        <v>38</v>
      </c>
      <c r="E54" s="72" t="s">
        <v>184</v>
      </c>
      <c r="F54" s="88" t="s">
        <v>172</v>
      </c>
      <c r="G54" s="5" t="s">
        <v>56</v>
      </c>
      <c r="I54" s="172" t="s">
        <v>222</v>
      </c>
      <c r="J54" s="173"/>
      <c r="K54" s="173"/>
      <c r="L54" s="173"/>
      <c r="M54" s="173" t="s">
        <v>222</v>
      </c>
      <c r="N54" s="174"/>
    </row>
    <row r="55" spans="1:14" ht="26.25" customHeight="1">
      <c r="A55" s="8">
        <v>48</v>
      </c>
      <c r="B55" s="16" t="s">
        <v>69</v>
      </c>
      <c r="C55" s="71" t="s">
        <v>29</v>
      </c>
      <c r="D55" s="66" t="s">
        <v>30</v>
      </c>
      <c r="E55" s="72" t="s">
        <v>184</v>
      </c>
      <c r="F55" s="88" t="s">
        <v>171</v>
      </c>
      <c r="G55" s="5" t="s">
        <v>56</v>
      </c>
      <c r="I55" s="172" t="s">
        <v>222</v>
      </c>
      <c r="J55" s="173"/>
      <c r="K55" s="173"/>
      <c r="L55" s="173"/>
      <c r="M55" s="173"/>
      <c r="N55" s="174"/>
    </row>
    <row r="56" spans="1:14" ht="26.25" customHeight="1">
      <c r="A56" s="8">
        <v>49</v>
      </c>
      <c r="B56" s="16" t="s">
        <v>69</v>
      </c>
      <c r="C56" s="71" t="s">
        <v>31</v>
      </c>
      <c r="D56" s="66" t="s">
        <v>32</v>
      </c>
      <c r="E56" s="72" t="s">
        <v>184</v>
      </c>
      <c r="F56" s="88" t="s">
        <v>171</v>
      </c>
      <c r="G56" s="5" t="s">
        <v>56</v>
      </c>
      <c r="I56" s="172" t="s">
        <v>222</v>
      </c>
      <c r="J56" s="173"/>
      <c r="K56" s="173"/>
      <c r="L56" s="173"/>
      <c r="M56" s="173" t="s">
        <v>222</v>
      </c>
      <c r="N56" s="174"/>
    </row>
    <row r="57" spans="1:14" ht="26.25" customHeight="1">
      <c r="A57" s="8">
        <v>50</v>
      </c>
      <c r="B57" s="16" t="s">
        <v>69</v>
      </c>
      <c r="C57" s="71" t="s">
        <v>284</v>
      </c>
      <c r="D57" s="66" t="s">
        <v>39</v>
      </c>
      <c r="E57" s="72" t="s">
        <v>278</v>
      </c>
      <c r="F57" s="88" t="s">
        <v>177</v>
      </c>
      <c r="G57" s="5" t="s">
        <v>56</v>
      </c>
      <c r="I57" s="172" t="s">
        <v>222</v>
      </c>
      <c r="J57" s="173"/>
      <c r="K57" s="173"/>
      <c r="L57" s="173"/>
      <c r="M57" s="173" t="s">
        <v>222</v>
      </c>
      <c r="N57" s="174"/>
    </row>
    <row r="58" spans="1:14" ht="26.25" customHeight="1">
      <c r="A58" s="8">
        <v>51</v>
      </c>
      <c r="B58" s="16" t="s">
        <v>69</v>
      </c>
      <c r="C58" s="71" t="s">
        <v>285</v>
      </c>
      <c r="D58" s="66" t="s">
        <v>40</v>
      </c>
      <c r="E58" s="72" t="s">
        <v>278</v>
      </c>
      <c r="F58" s="88" t="s">
        <v>177</v>
      </c>
      <c r="G58" s="5" t="s">
        <v>56</v>
      </c>
      <c r="I58" s="172" t="s">
        <v>222</v>
      </c>
      <c r="J58" s="173"/>
      <c r="K58" s="173"/>
      <c r="L58" s="173"/>
      <c r="M58" s="173" t="s">
        <v>222</v>
      </c>
      <c r="N58" s="174"/>
    </row>
    <row r="59" spans="1:14" ht="26.25" customHeight="1">
      <c r="A59" s="8">
        <v>52</v>
      </c>
      <c r="B59" s="16" t="s">
        <v>69</v>
      </c>
      <c r="C59" s="71" t="s">
        <v>286</v>
      </c>
      <c r="D59" s="66" t="s">
        <v>138</v>
      </c>
      <c r="E59" s="72" t="s">
        <v>278</v>
      </c>
      <c r="F59" s="88" t="s">
        <v>177</v>
      </c>
      <c r="G59" s="5" t="s">
        <v>56</v>
      </c>
      <c r="I59" s="172"/>
      <c r="J59" s="173"/>
      <c r="K59" s="173"/>
      <c r="L59" s="173"/>
      <c r="M59" s="173" t="s">
        <v>222</v>
      </c>
      <c r="N59" s="174"/>
    </row>
    <row r="60" spans="1:14" ht="26.25" customHeight="1">
      <c r="A60" s="8">
        <v>53</v>
      </c>
      <c r="B60" s="16" t="s">
        <v>69</v>
      </c>
      <c r="C60" s="71" t="s">
        <v>287</v>
      </c>
      <c r="D60" s="66" t="s">
        <v>33</v>
      </c>
      <c r="E60" s="72" t="s">
        <v>278</v>
      </c>
      <c r="F60" s="88" t="s">
        <v>177</v>
      </c>
      <c r="G60" s="5" t="s">
        <v>56</v>
      </c>
      <c r="I60" s="172" t="s">
        <v>222</v>
      </c>
      <c r="J60" s="173"/>
      <c r="K60" s="173"/>
      <c r="L60" s="173"/>
      <c r="M60" s="173"/>
      <c r="N60" s="174"/>
    </row>
    <row r="61" spans="1:14" ht="26.25" customHeight="1">
      <c r="A61" s="8">
        <v>54</v>
      </c>
      <c r="B61" s="16" t="s">
        <v>69</v>
      </c>
      <c r="C61" s="71" t="s">
        <v>34</v>
      </c>
      <c r="D61" s="66" t="s">
        <v>35</v>
      </c>
      <c r="E61" s="72" t="s">
        <v>184</v>
      </c>
      <c r="F61" s="88" t="s">
        <v>176</v>
      </c>
      <c r="G61" s="5" t="s">
        <v>56</v>
      </c>
      <c r="I61" s="172" t="s">
        <v>222</v>
      </c>
      <c r="J61" s="173"/>
      <c r="K61" s="173"/>
      <c r="L61" s="173"/>
      <c r="M61" s="173" t="s">
        <v>222</v>
      </c>
      <c r="N61" s="174"/>
    </row>
    <row r="62" spans="1:14" ht="26.25" customHeight="1">
      <c r="A62" s="8">
        <v>55</v>
      </c>
      <c r="B62" s="16" t="s">
        <v>69</v>
      </c>
      <c r="C62" s="71" t="s">
        <v>41</v>
      </c>
      <c r="D62" s="66" t="s">
        <v>42</v>
      </c>
      <c r="E62" s="72" t="s">
        <v>184</v>
      </c>
      <c r="F62" s="88" t="s">
        <v>176</v>
      </c>
      <c r="G62" s="5" t="s">
        <v>56</v>
      </c>
      <c r="I62" s="172" t="s">
        <v>222</v>
      </c>
      <c r="J62" s="173"/>
      <c r="K62" s="173"/>
      <c r="L62" s="173"/>
      <c r="M62" s="173" t="s">
        <v>222</v>
      </c>
      <c r="N62" s="174"/>
    </row>
    <row r="63" spans="1:14" ht="26.25" customHeight="1">
      <c r="A63" s="8">
        <v>56</v>
      </c>
      <c r="B63" s="16" t="s">
        <v>69</v>
      </c>
      <c r="C63" s="71" t="s">
        <v>44</v>
      </c>
      <c r="D63" s="66" t="s">
        <v>45</v>
      </c>
      <c r="E63" s="72" t="s">
        <v>184</v>
      </c>
      <c r="F63" s="88" t="s">
        <v>171</v>
      </c>
      <c r="G63" s="5" t="s">
        <v>56</v>
      </c>
      <c r="I63" s="172" t="s">
        <v>222</v>
      </c>
      <c r="J63" s="173"/>
      <c r="K63" s="173"/>
      <c r="L63" s="173"/>
      <c r="M63" s="173" t="s">
        <v>222</v>
      </c>
      <c r="N63" s="174"/>
    </row>
    <row r="64" spans="1:14" ht="26.25" customHeight="1">
      <c r="A64" s="8">
        <v>57</v>
      </c>
      <c r="B64" s="16" t="s">
        <v>69</v>
      </c>
      <c r="C64" s="71" t="s">
        <v>67</v>
      </c>
      <c r="D64" s="66" t="s">
        <v>43</v>
      </c>
      <c r="E64" s="72" t="s">
        <v>189</v>
      </c>
      <c r="F64" s="88" t="s">
        <v>174</v>
      </c>
      <c r="G64" s="5" t="s">
        <v>56</v>
      </c>
      <c r="I64" s="172" t="s">
        <v>222</v>
      </c>
      <c r="J64" s="173"/>
      <c r="K64" s="173"/>
      <c r="L64" s="173"/>
      <c r="M64" s="173" t="s">
        <v>222</v>
      </c>
      <c r="N64" s="174"/>
    </row>
    <row r="65" spans="1:14" ht="26.25" customHeight="1">
      <c r="A65" s="252">
        <v>58</v>
      </c>
      <c r="B65" s="16" t="s">
        <v>69</v>
      </c>
      <c r="C65" s="71" t="s">
        <v>288</v>
      </c>
      <c r="D65" s="66" t="s">
        <v>140</v>
      </c>
      <c r="E65" s="72" t="s">
        <v>278</v>
      </c>
      <c r="F65" s="88" t="s">
        <v>177</v>
      </c>
      <c r="G65" s="254" t="s">
        <v>56</v>
      </c>
      <c r="I65" s="255" t="s">
        <v>222</v>
      </c>
      <c r="J65" s="256"/>
      <c r="K65" s="256"/>
      <c r="L65" s="256"/>
      <c r="M65" s="256" t="s">
        <v>222</v>
      </c>
      <c r="N65" s="257"/>
    </row>
    <row r="66" spans="1:14" ht="26.25" customHeight="1" thickBot="1">
      <c r="A66" s="90">
        <v>59</v>
      </c>
      <c r="B66" s="91" t="s">
        <v>69</v>
      </c>
      <c r="C66" s="270" t="s">
        <v>289</v>
      </c>
      <c r="D66" s="131" t="s">
        <v>46</v>
      </c>
      <c r="E66" s="92" t="s">
        <v>278</v>
      </c>
      <c r="F66" s="93" t="s">
        <v>177</v>
      </c>
      <c r="G66" s="94" t="s">
        <v>56</v>
      </c>
      <c r="I66" s="176" t="s">
        <v>222</v>
      </c>
      <c r="J66" s="177"/>
      <c r="K66" s="177"/>
      <c r="L66" s="177"/>
      <c r="M66" s="177" t="s">
        <v>222</v>
      </c>
      <c r="N66" s="178"/>
    </row>
    <row r="67" spans="1:14" ht="13.5" thickTop="1"/>
    <row r="68" spans="1:14">
      <c r="A68" s="1" t="s">
        <v>297</v>
      </c>
    </row>
  </sheetData>
  <phoneticPr fontId="1" type="noConversion"/>
  <hyperlinks>
    <hyperlink ref="C54" location="'47'!A1" display="Urban Forest Buffers"/>
    <hyperlink ref="C46" location="'39'!A1" display="Abandoned Mine Reclamation"/>
    <hyperlink ref="C50" location="'43'!A1" display="Erosion and Sediment Control"/>
    <hyperlink ref="C51" location="'44'!A1" display="Erosion and Sediment Control on Extractive, excess applied to all other pervious urban"/>
    <hyperlink ref="C55" location="'48'!A1" display="Forest Conservation"/>
    <hyperlink ref="C56" location="'49'!A1" display="Impervious Urban Surface Reduction"/>
    <hyperlink ref="C64" location="'57'!A1" display="Urban Stream Restoration; Shoreline Erosion Control; Regenerative Stormwater Conveyance"/>
    <hyperlink ref="C63" location="'56'!A1" display="Urban Tree Planting; Urban Tree Canopy"/>
    <hyperlink ref="C62" location="'55'!A1" display="Urban Nutrient Management"/>
    <hyperlink ref="C37" location="'36a'!A1" display="Septic Connection ― Critical Area"/>
    <hyperlink ref="C38" location="'36b'!A1" display="Septic Connection ― 1,000 feet of stream"/>
    <hyperlink ref="C39" location="'36c'!A1" display="Septic Connection ― other"/>
    <hyperlink ref="C24" location="'23'!A1" display="Nutrient Management"/>
    <hyperlink ref="C14" location="'13'!A1" display="Enhanced Nutrient Management"/>
    <hyperlink ref="C12" location="'11'!A1" display="Decision Agriculture"/>
    <hyperlink ref="C40" location="'37a'!A1" display="Septic Denitrification ― Critical Area"/>
    <hyperlink ref="C41" location="'37b'!A1" display="Septic Denitrification ― 1,000 feet of stream"/>
    <hyperlink ref="C42" location="'37c'!A1" display="Septic Denitrification ― other"/>
    <hyperlink ref="C43" location="'38a'!A1" display="Septic Pumping ― Critical Area"/>
    <hyperlink ref="C44" location="'38b'!A1" display="Septic Pumping ― 1,000 feet of stream"/>
    <hyperlink ref="C45" location="'38c'!A1" display="Septic Pumping ― other"/>
    <hyperlink ref="C4" location="'3'!A1" display="Barnyard Runoff Control"/>
    <hyperlink ref="C5" location="'4'!A1" display="Irrigation Water Capture Reuse"/>
    <hyperlink ref="C6" location="'5'!A1" display="Alternative Crops"/>
    <hyperlink ref="C10" location="'9'!A1" display="Cover Crop Standard Drilled Wheat"/>
    <hyperlink ref="C7" location="'6'!A1" display="Heavy Use Poultry Area Concrete Pads"/>
    <hyperlink ref="C8" location="'7'!A1" display="Soil Conservation and Water Quality Plans"/>
    <hyperlink ref="C2" location="'1'!A1" display="Poultry Litter Treatment (alum, for example)"/>
    <hyperlink ref="C3" location="'2'!A1" display="Animal Waste Management System"/>
    <hyperlink ref="C11" location="'10'!A1" display="Cropland Irrigation Management"/>
    <hyperlink ref="C13" location="'12'!A1" display="Sorbing Materials in Ag Ditches"/>
    <hyperlink ref="C15" location="'14'!A1" display="Forest Buffers"/>
    <hyperlink ref="C16" location="'15'!A1" display="Grass Buffers; Vegetated Open Channel - Agriculture"/>
    <hyperlink ref="C17" location="'16'!A1" display="Horse Pasture Management"/>
    <hyperlink ref="C18" location="'17'!A1" display="Land Retirement to hay without nutrients (HEL)"/>
    <hyperlink ref="C19" location="'18'!A1" display="Land Retirement to pasture (HEL)"/>
    <hyperlink ref="C20" location="'19'!A1" display="Dairy Manure Injection"/>
    <hyperlink ref="C21" location="'20'!A1" display="Loafing Lot Management"/>
    <hyperlink ref="C22" location="'21'!A1" display="Mortality Composters"/>
    <hyperlink ref="C23" location="'22'!A1" display="Non Urban Stream Restoration; Shoreline Erosion Control"/>
    <hyperlink ref="C25" location="'24'!A1" display="Off Stream Watering Without Fencing"/>
    <hyperlink ref="C26" location="'25'!A1" display="Stream Access Control with Fencing"/>
    <hyperlink ref="C27" location="'26'!A1" display="Poultry Litter Injection"/>
    <hyperlink ref="C28" location="'27'!A1" display="Poultry Phytase "/>
    <hyperlink ref="C29" location="'28'!A1" display="Prescribed Grazing"/>
    <hyperlink ref="C31" location="'30'!A1" display="Precision Intensive Rotational Grazing"/>
    <hyperlink ref="C32" location="'31'!A1" display="Water Control Structures"/>
    <hyperlink ref="C33" location="'32'!A1" display="Wetland Restoration"/>
    <hyperlink ref="C30" location="'29'!A1" display="Tree Planting; Vegetative Environmental Buffers ― Poultry"/>
    <hyperlink ref="C9" location="'8'!A1" display="Conservation Tillage - Percent of Acres"/>
    <hyperlink ref="C35" location="'34'!A1" display="Forest Harvesting Practices"/>
    <hyperlink ref="C36" location="'35'!A1" display="Set Permitted Load"/>
    <hyperlink ref="C34" location="'33'!A1" display="Manure Transport"/>
    <hyperlink ref="C47" location="'40'!A1" display="Bioretention/raingardens"/>
    <hyperlink ref="C48" location="'41'!A1" display="Bioswale"/>
    <hyperlink ref="C49" location="'42'!A1" display="Dry Detention Ponds and Hydrodynamic Structures"/>
    <hyperlink ref="C52" location="'45'!A1" display="Dry Extended Detention Ponds"/>
    <hyperlink ref="C53" location="'46'!A1" display="Urban Filtering Practices"/>
    <hyperlink ref="C57" location="'50'!A1" display="Urban Infiltration Practices - no sand\veg no under drain"/>
    <hyperlink ref="C58" location="'51'!A1" display="Urban Infiltration Practices - with sandveg no under drain"/>
    <hyperlink ref="C59" location="'52'!A1" display="Permeable Pavement w/ Sand, Veg. - A/B soils, underdrain"/>
    <hyperlink ref="C60" location="'53'!A1" display="MS4 Permit-Required Stormwater Retrofit"/>
    <hyperlink ref="C65" location="'58'!A1" display="Vegetated Open Channel - Urban"/>
    <hyperlink ref="C66" location="'59'!A1" display="Wet Ponds and Wetlands"/>
    <hyperlink ref="C61" location="'54'!A1" display="Street Sweeping 25 times a year-acres (formerly called Street Sweeping Mechanical Monthly)"/>
  </hyperlinks>
  <pageMargins left="0.75" right="0.75" top="1" bottom="1" header="0.5" footer="0.5"/>
  <pageSetup paperSize="5" scale="29" orientation="landscape" r:id="rId1"/>
  <headerFooter alignWithMargins="0"/>
</worksheet>
</file>

<file path=xl/worksheets/sheet30.xml><?xml version="1.0" encoding="utf-8"?>
<worksheet xmlns="http://schemas.openxmlformats.org/spreadsheetml/2006/main" xmlns:r="http://schemas.openxmlformats.org/officeDocument/2006/relationships">
  <sheetPr codeName="Sheet63"/>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0" style="17" bestFit="1" customWidth="1"/>
    <col min="13" max="16384" width="9.140625" style="17"/>
  </cols>
  <sheetData>
    <row r="1" spans="1:19" s="20" customFormat="1" ht="21" customHeight="1">
      <c r="A1" s="302" t="s">
        <v>136</v>
      </c>
      <c r="B1" s="303"/>
      <c r="D1" s="25" t="s">
        <v>134</v>
      </c>
      <c r="E1" s="89" t="str">
        <f>VLOOKUP($K$1,'BMP info'!A:G,3,FALSE)</f>
        <v>Mortality Composters</v>
      </c>
      <c r="I1" s="22"/>
      <c r="J1" s="37" t="s">
        <v>135</v>
      </c>
      <c r="K1" s="50">
        <v>21</v>
      </c>
      <c r="L1" s="22"/>
      <c r="M1" s="22"/>
      <c r="N1" s="22"/>
      <c r="O1" s="22"/>
      <c r="P1" s="22"/>
      <c r="Q1" s="22"/>
      <c r="R1" s="22"/>
    </row>
    <row r="2" spans="1:19" s="20" customFormat="1" ht="12.75" customHeight="1">
      <c r="D2" s="48" t="s">
        <v>3</v>
      </c>
      <c r="E2" s="19" t="str">
        <f>VLOOKUP($K$1,'BMP info'!A:G,4,FALSE)</f>
        <v>MortalityComp</v>
      </c>
      <c r="I2" s="23"/>
      <c r="L2" s="23"/>
      <c r="M2" s="23"/>
      <c r="N2" s="23"/>
      <c r="O2" s="23"/>
      <c r="P2" s="23"/>
      <c r="Q2" s="23"/>
      <c r="R2" s="23"/>
      <c r="S2" s="23"/>
    </row>
    <row r="3" spans="1:19" s="20" customFormat="1" ht="12.75" customHeight="1">
      <c r="D3" s="48" t="s">
        <v>79</v>
      </c>
      <c r="E3" s="19" t="str">
        <f>VLOOKUP($K$1,'BMP info'!A:G,5,FALSE)</f>
        <v>animal unit</v>
      </c>
      <c r="I3" s="23"/>
      <c r="K3" s="49"/>
      <c r="L3" s="23"/>
      <c r="M3" s="23"/>
      <c r="N3" s="23"/>
      <c r="O3" s="23"/>
      <c r="P3" s="23"/>
      <c r="Q3" s="23"/>
      <c r="R3" s="23"/>
      <c r="S3" s="23"/>
    </row>
    <row r="4" spans="1:19" s="20" customFormat="1" ht="12.75" customHeight="1">
      <c r="D4" s="48" t="s">
        <v>170</v>
      </c>
      <c r="E4" s="19" t="str">
        <f>VLOOKUP($K$1,'BMP info'!A:G,6,FALSE)</f>
        <v>animal</v>
      </c>
      <c r="I4" s="23"/>
      <c r="K4" s="49"/>
      <c r="L4" s="23"/>
      <c r="M4" s="23"/>
      <c r="N4" s="23"/>
      <c r="O4" s="23"/>
      <c r="P4" s="23"/>
      <c r="Q4" s="23"/>
      <c r="R4" s="23"/>
      <c r="S4" s="23"/>
    </row>
    <row r="5" spans="1:19" s="20" customFormat="1">
      <c r="D5" s="48" t="s">
        <v>4</v>
      </c>
      <c r="E5" s="19" t="str">
        <f>VLOOKUP($K$1,'BMP info'!A:G,7,FALSE)</f>
        <v>P5.3.2</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t="str">
        <f t="shared" ref="D13:F16" si="0">IF(D27*$D$34=0,"-",1000*D27/$D$34)</f>
        <v>-</v>
      </c>
      <c r="E13" s="29" t="str">
        <f t="shared" si="0"/>
        <v>-</v>
      </c>
      <c r="F13" s="51" t="str">
        <f t="shared" si="0"/>
        <v>-</v>
      </c>
      <c r="G13" s="305" t="s">
        <v>254</v>
      </c>
      <c r="H13" s="300"/>
      <c r="J13" s="24" t="s">
        <v>9</v>
      </c>
      <c r="K13" s="28" t="str">
        <f t="shared" ref="K13:M16" si="1">IF(K27*$D$34=0,"-",1000*K27/$D$34)</f>
        <v>-</v>
      </c>
      <c r="L13" s="29" t="str">
        <f t="shared" si="1"/>
        <v>-</v>
      </c>
      <c r="M13" s="51" t="str">
        <f t="shared" si="1"/>
        <v>-</v>
      </c>
      <c r="N13" s="305" t="s">
        <v>133</v>
      </c>
      <c r="O13" s="300"/>
    </row>
    <row r="14" spans="1:19">
      <c r="C14" s="24" t="s">
        <v>7</v>
      </c>
      <c r="D14" s="31" t="str">
        <f t="shared" si="0"/>
        <v>-</v>
      </c>
      <c r="E14" s="32" t="str">
        <f t="shared" si="0"/>
        <v>-</v>
      </c>
      <c r="F14" s="52" t="str">
        <f t="shared" si="0"/>
        <v>-</v>
      </c>
      <c r="G14" s="301"/>
      <c r="H14" s="300"/>
      <c r="J14" s="24" t="s">
        <v>7</v>
      </c>
      <c r="K14" s="31" t="str">
        <f t="shared" si="1"/>
        <v>-</v>
      </c>
      <c r="L14" s="32" t="str">
        <f t="shared" si="1"/>
        <v>-</v>
      </c>
      <c r="M14" s="52" t="str">
        <f t="shared" si="1"/>
        <v>-</v>
      </c>
      <c r="N14" s="301"/>
      <c r="O14" s="300"/>
    </row>
    <row r="15" spans="1:19">
      <c r="C15" s="24" t="s">
        <v>8</v>
      </c>
      <c r="D15" s="31" t="str">
        <f t="shared" si="0"/>
        <v>-</v>
      </c>
      <c r="E15" s="32" t="str">
        <f t="shared" si="0"/>
        <v>-</v>
      </c>
      <c r="F15" s="52" t="str">
        <f t="shared" si="0"/>
        <v>-</v>
      </c>
      <c r="G15" s="301"/>
      <c r="H15" s="300"/>
      <c r="J15" s="24" t="s">
        <v>8</v>
      </c>
      <c r="K15" s="31" t="str">
        <f t="shared" si="1"/>
        <v>-</v>
      </c>
      <c r="L15" s="32" t="str">
        <f t="shared" si="1"/>
        <v>-</v>
      </c>
      <c r="M15" s="52" t="str">
        <f t="shared" si="1"/>
        <v>-</v>
      </c>
      <c r="N15" s="301"/>
      <c r="O15" s="300"/>
    </row>
    <row r="16" spans="1:19" ht="13.5" thickBot="1">
      <c r="C16" s="24" t="s">
        <v>6</v>
      </c>
      <c r="D16" s="34" t="str">
        <f t="shared" si="0"/>
        <v>-</v>
      </c>
      <c r="E16" s="35" t="str">
        <f t="shared" si="0"/>
        <v>-</v>
      </c>
      <c r="F16" s="53" t="str">
        <f t="shared" si="0"/>
        <v>-</v>
      </c>
      <c r="G16" s="301"/>
      <c r="H16" s="300"/>
      <c r="J16" s="24" t="s">
        <v>6</v>
      </c>
      <c r="K16" s="34" t="str">
        <f t="shared" si="1"/>
        <v>-</v>
      </c>
      <c r="L16" s="35" t="str">
        <f t="shared" si="1"/>
        <v>-</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t="str">
        <f t="shared" ref="D20:F23" si="2">IF(D27=0,"-",$D$34/D27)</f>
        <v>-</v>
      </c>
      <c r="E20" s="29" t="str">
        <f t="shared" si="2"/>
        <v>-</v>
      </c>
      <c r="F20" s="51" t="str">
        <f t="shared" si="2"/>
        <v>-</v>
      </c>
      <c r="G20" s="305" t="s">
        <v>253</v>
      </c>
      <c r="H20" s="300"/>
      <c r="J20" s="24" t="s">
        <v>9</v>
      </c>
      <c r="K20" s="28" t="str">
        <f t="shared" ref="K20:M23" si="3">IF(K27=0,"-",$D$34/K27)</f>
        <v>-</v>
      </c>
      <c r="L20" s="29" t="str">
        <f t="shared" si="3"/>
        <v>-</v>
      </c>
      <c r="M20" s="51" t="str">
        <f t="shared" si="3"/>
        <v>-</v>
      </c>
      <c r="N20" s="305" t="s">
        <v>132</v>
      </c>
      <c r="O20" s="300"/>
    </row>
    <row r="21" spans="1:16">
      <c r="C21" s="24" t="s">
        <v>7</v>
      </c>
      <c r="D21" s="31" t="str">
        <f t="shared" si="2"/>
        <v>-</v>
      </c>
      <c r="E21" s="32" t="str">
        <f t="shared" si="2"/>
        <v>-</v>
      </c>
      <c r="F21" s="52" t="str">
        <f t="shared" si="2"/>
        <v>-</v>
      </c>
      <c r="G21" s="301"/>
      <c r="H21" s="300"/>
      <c r="J21" s="24" t="s">
        <v>7</v>
      </c>
      <c r="K21" s="31" t="str">
        <f t="shared" si="3"/>
        <v>-</v>
      </c>
      <c r="L21" s="32" t="str">
        <f t="shared" si="3"/>
        <v>-</v>
      </c>
      <c r="M21" s="52" t="str">
        <f t="shared" si="3"/>
        <v>-</v>
      </c>
      <c r="N21" s="301"/>
      <c r="O21" s="300"/>
    </row>
    <row r="22" spans="1:16">
      <c r="C22" s="24" t="s">
        <v>8</v>
      </c>
      <c r="D22" s="31" t="str">
        <f t="shared" si="2"/>
        <v>-</v>
      </c>
      <c r="E22" s="32" t="str">
        <f t="shared" si="2"/>
        <v>-</v>
      </c>
      <c r="F22" s="52" t="str">
        <f t="shared" si="2"/>
        <v>-</v>
      </c>
      <c r="G22" s="301"/>
      <c r="H22" s="300"/>
      <c r="J22" s="24" t="s">
        <v>8</v>
      </c>
      <c r="K22" s="31" t="str">
        <f t="shared" si="3"/>
        <v>-</v>
      </c>
      <c r="L22" s="32" t="str">
        <f t="shared" si="3"/>
        <v>-</v>
      </c>
      <c r="M22" s="52" t="str">
        <f t="shared" si="3"/>
        <v>-</v>
      </c>
      <c r="N22" s="301"/>
      <c r="O22" s="300"/>
    </row>
    <row r="23" spans="1:16" ht="13.5" thickBot="1">
      <c r="C23" s="24" t="s">
        <v>6</v>
      </c>
      <c r="D23" s="34" t="str">
        <f t="shared" si="2"/>
        <v>-</v>
      </c>
      <c r="E23" s="35" t="str">
        <f t="shared" si="2"/>
        <v>-</v>
      </c>
      <c r="F23" s="53" t="str">
        <f t="shared" si="2"/>
        <v>-</v>
      </c>
      <c r="G23" s="301"/>
      <c r="H23" s="300"/>
      <c r="J23" s="24" t="s">
        <v>6</v>
      </c>
      <c r="K23" s="34" t="str">
        <f t="shared" si="3"/>
        <v>-</v>
      </c>
      <c r="L23" s="35" t="str">
        <f t="shared" si="3"/>
        <v>-</v>
      </c>
      <c r="M23" s="53" t="str">
        <f t="shared" si="3"/>
        <v>-</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c r="E27" s="209"/>
      <c r="F27" s="210"/>
      <c r="G27" s="305" t="str">
        <f>"EOS pounds removed per '"&amp;E3&amp;"' of practice per year"</f>
        <v>EOS pounds removed per 'animal unit' of practice per year</v>
      </c>
      <c r="H27" s="300"/>
      <c r="J27" s="24" t="s">
        <v>9</v>
      </c>
      <c r="K27" s="56"/>
      <c r="L27" s="209"/>
      <c r="M27" s="210"/>
      <c r="N27" s="299" t="str">
        <f>"delivered pounds removed per '"&amp;E3&amp;"' of practice per year"</f>
        <v>delivered pounds removed per 'animal unit' of practice per year</v>
      </c>
      <c r="O27" s="300"/>
      <c r="P27" s="204"/>
    </row>
    <row r="28" spans="1:16">
      <c r="C28" s="24" t="s">
        <v>7</v>
      </c>
      <c r="D28" s="211"/>
      <c r="E28" s="212"/>
      <c r="F28" s="213"/>
      <c r="G28" s="301"/>
      <c r="H28" s="300"/>
      <c r="J28" s="24" t="s">
        <v>7</v>
      </c>
      <c r="K28" s="57"/>
      <c r="L28" s="212"/>
      <c r="M28" s="213"/>
      <c r="N28" s="301"/>
      <c r="O28" s="300"/>
      <c r="P28" s="204"/>
    </row>
    <row r="29" spans="1:16">
      <c r="C29" s="24" t="s">
        <v>8</v>
      </c>
      <c r="D29" s="211"/>
      <c r="E29" s="212"/>
      <c r="F29" s="213"/>
      <c r="G29" s="301"/>
      <c r="H29" s="300"/>
      <c r="J29" s="24" t="s">
        <v>8</v>
      </c>
      <c r="K29" s="57"/>
      <c r="L29" s="212"/>
      <c r="M29" s="213"/>
      <c r="N29" s="301"/>
      <c r="O29" s="300"/>
      <c r="P29" s="204"/>
    </row>
    <row r="30" spans="1:16" ht="13.5" thickBot="1">
      <c r="C30" s="24" t="s">
        <v>6</v>
      </c>
      <c r="D30" s="214"/>
      <c r="E30" s="215"/>
      <c r="F30" s="216"/>
      <c r="G30" s="301"/>
      <c r="H30" s="300"/>
      <c r="J30" s="24" t="s">
        <v>6</v>
      </c>
      <c r="K30" s="58"/>
      <c r="L30" s="215"/>
      <c r="M30" s="216"/>
      <c r="N30" s="301"/>
      <c r="O30" s="300"/>
      <c r="P30" s="204"/>
    </row>
    <row r="31" spans="1:16" ht="13.5" thickBot="1"/>
    <row r="32" spans="1:16" s="42" customFormat="1">
      <c r="A32" s="86" t="s">
        <v>1</v>
      </c>
    </row>
    <row r="33" spans="1:12" ht="5.25" customHeight="1" thickBot="1"/>
    <row r="34" spans="1:12" ht="13.5" thickBot="1">
      <c r="C34" s="24" t="s">
        <v>11</v>
      </c>
      <c r="D34" s="46">
        <f>-PMT(D39,D38,D36)+D37</f>
        <v>1</v>
      </c>
      <c r="E34" s="18" t="str">
        <f>"$ per '"&amp;E3&amp;"' of practice per year"</f>
        <v>$ per 'animal unit'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15</v>
      </c>
      <c r="E36" s="18" t="str">
        <f>"$ per '"&amp;E3&amp;"' of practice"</f>
        <v>$ per 'animal unit' of practice</v>
      </c>
      <c r="I36" s="78" t="s">
        <v>162</v>
      </c>
      <c r="J36" s="236">
        <v>2181</v>
      </c>
      <c r="K36" s="235">
        <v>15</v>
      </c>
      <c r="L36" s="237">
        <f>AVERAGE(J36:K36)</f>
        <v>1098</v>
      </c>
    </row>
    <row r="37" spans="1:12">
      <c r="C37" s="24" t="s">
        <v>12</v>
      </c>
      <c r="D37" s="39">
        <f>J37</f>
        <v>0</v>
      </c>
      <c r="E37" s="18" t="str">
        <f>"$ per '"&amp;E3&amp;"' of practice per year"</f>
        <v>$ per 'animal unit' of practice per year</v>
      </c>
      <c r="I37" s="78" t="s">
        <v>161</v>
      </c>
      <c r="J37" s="236">
        <v>0</v>
      </c>
      <c r="K37" s="235"/>
      <c r="L37" s="237">
        <f>AVERAGE(J37:K37)</f>
        <v>0</v>
      </c>
    </row>
    <row r="38" spans="1:12">
      <c r="C38" s="24" t="s">
        <v>13</v>
      </c>
      <c r="D38" s="249">
        <f>K38</f>
        <v>15</v>
      </c>
      <c r="E38" s="18" t="s">
        <v>15</v>
      </c>
      <c r="I38" s="78" t="s">
        <v>163</v>
      </c>
      <c r="J38" s="245">
        <v>10</v>
      </c>
      <c r="K38" s="244">
        <v>15</v>
      </c>
      <c r="L38" s="246"/>
    </row>
    <row r="39" spans="1:12" ht="13.5" thickBot="1">
      <c r="C39" s="24" t="s">
        <v>14</v>
      </c>
      <c r="D39" s="41">
        <f>Summary!C35</f>
        <v>0</v>
      </c>
      <c r="E39" s="18" t="s">
        <v>16</v>
      </c>
      <c r="I39" s="80" t="s">
        <v>166</v>
      </c>
      <c r="J39" s="239">
        <f>J37+(J36/J38)</f>
        <v>218.1</v>
      </c>
      <c r="K39" s="238">
        <f>K37+(K36/K38)</f>
        <v>1</v>
      </c>
      <c r="L39" s="240">
        <f>AVERAGE(J39:K39)</f>
        <v>109.55</v>
      </c>
    </row>
    <row r="40" spans="1:12">
      <c r="F40" s="234"/>
    </row>
    <row r="41" spans="1:12">
      <c r="I41" s="304" t="s">
        <v>276</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sheetPr codeName="Sheet53"/>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Non Urban Stream Restoration; Shoreline Erosion Control</v>
      </c>
      <c r="I1" s="22"/>
      <c r="J1" s="37" t="s">
        <v>135</v>
      </c>
      <c r="K1" s="50">
        <v>22</v>
      </c>
      <c r="L1" s="22"/>
      <c r="M1" s="22"/>
      <c r="N1" s="22"/>
      <c r="O1" s="22"/>
      <c r="P1" s="22"/>
      <c r="Q1" s="22"/>
      <c r="R1" s="22"/>
    </row>
    <row r="2" spans="1:19" s="20" customFormat="1" ht="12.75" customHeight="1">
      <c r="D2" s="48" t="s">
        <v>3</v>
      </c>
      <c r="E2" s="19" t="str">
        <f>VLOOKUP($K$1,'BMP info'!A:G,4,FALSE)</f>
        <v>NonUrbStrmRest</v>
      </c>
      <c r="I2" s="23"/>
      <c r="L2" s="23"/>
      <c r="M2" s="23"/>
      <c r="N2" s="23"/>
      <c r="O2" s="23"/>
      <c r="P2" s="23"/>
      <c r="Q2" s="23"/>
      <c r="R2" s="23"/>
      <c r="S2" s="23"/>
    </row>
    <row r="3" spans="1:19" s="20" customFormat="1" ht="12.75" customHeight="1">
      <c r="D3" s="48" t="s">
        <v>79</v>
      </c>
      <c r="E3" s="19" t="str">
        <f>VLOOKUP($K$1,'BMP info'!A:G,5,FALSE)</f>
        <v>foot</v>
      </c>
      <c r="I3" s="23"/>
      <c r="K3" s="49"/>
      <c r="L3" s="23"/>
      <c r="M3" s="23"/>
      <c r="N3" s="23"/>
      <c r="O3" s="23"/>
      <c r="P3" s="23"/>
      <c r="Q3" s="23"/>
      <c r="R3" s="23"/>
      <c r="S3" s="23"/>
    </row>
    <row r="4" spans="1:19" s="20" customFormat="1" ht="12.75" customHeight="1">
      <c r="D4" s="48" t="s">
        <v>170</v>
      </c>
      <c r="E4" s="19" t="str">
        <f>VLOOKUP($K$1,'BMP info'!A:G,6,FALSE)</f>
        <v>load reduction</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3.184491179108941</v>
      </c>
      <c r="E13" s="29">
        <f t="shared" si="0"/>
        <v>0.3737665703179508</v>
      </c>
      <c r="F13" s="51">
        <f t="shared" si="0"/>
        <v>300.50832253563237</v>
      </c>
      <c r="G13" s="305" t="s">
        <v>254</v>
      </c>
      <c r="H13" s="300"/>
      <c r="J13" s="24" t="s">
        <v>9</v>
      </c>
      <c r="K13" s="28">
        <f t="shared" ref="K13:M16" si="1">IF(K27*$D$34=0,"-",1000*K27/$D$34)</f>
        <v>3.0200338881690421</v>
      </c>
      <c r="L13" s="29">
        <f t="shared" si="1"/>
        <v>0.3737665703179508</v>
      </c>
      <c r="M13" s="51">
        <f t="shared" si="1"/>
        <v>299.01325625436061</v>
      </c>
      <c r="N13" s="305" t="s">
        <v>133</v>
      </c>
      <c r="O13" s="300"/>
    </row>
    <row r="14" spans="1:19">
      <c r="C14" s="24" t="s">
        <v>7</v>
      </c>
      <c r="D14" s="31">
        <f t="shared" si="0"/>
        <v>2.9153792484800163</v>
      </c>
      <c r="E14" s="32">
        <f t="shared" si="0"/>
        <v>0.3737665703179508</v>
      </c>
      <c r="F14" s="52">
        <f t="shared" si="0"/>
        <v>294.52805741054522</v>
      </c>
      <c r="G14" s="301"/>
      <c r="H14" s="300"/>
      <c r="J14" s="24" t="s">
        <v>7</v>
      </c>
      <c r="K14" s="31">
        <f t="shared" si="1"/>
        <v>1.5847702581481113</v>
      </c>
      <c r="L14" s="32">
        <f t="shared" si="1"/>
        <v>0.25416126781620652</v>
      </c>
      <c r="M14" s="52">
        <f t="shared" si="1"/>
        <v>233.23033987840128</v>
      </c>
      <c r="N14" s="301"/>
      <c r="O14" s="300"/>
    </row>
    <row r="15" spans="1:19">
      <c r="C15" s="24" t="s">
        <v>8</v>
      </c>
      <c r="D15" s="31">
        <f t="shared" si="0"/>
        <v>2.9153792484800163</v>
      </c>
      <c r="E15" s="32">
        <f t="shared" si="0"/>
        <v>0.3737665703179508</v>
      </c>
      <c r="F15" s="52">
        <f t="shared" si="0"/>
        <v>293.0329911292734</v>
      </c>
      <c r="G15" s="301"/>
      <c r="H15" s="300"/>
      <c r="J15" s="24" t="s">
        <v>8</v>
      </c>
      <c r="K15" s="31">
        <f t="shared" si="1"/>
        <v>1.0166450712648261</v>
      </c>
      <c r="L15" s="32">
        <f t="shared" si="1"/>
        <v>0.17940795375261637</v>
      </c>
      <c r="M15" s="52">
        <f t="shared" si="1"/>
        <v>194.35861656533442</v>
      </c>
      <c r="N15" s="301"/>
      <c r="O15" s="300"/>
    </row>
    <row r="16" spans="1:19" ht="13.5" thickBot="1">
      <c r="C16" s="24" t="s">
        <v>6</v>
      </c>
      <c r="D16" s="34">
        <f t="shared" si="0"/>
        <v>2.7359712947274</v>
      </c>
      <c r="E16" s="35">
        <f t="shared" si="0"/>
        <v>0.32891458187979672</v>
      </c>
      <c r="F16" s="53">
        <f t="shared" si="0"/>
        <v>290.04285856672982</v>
      </c>
      <c r="G16" s="301"/>
      <c r="H16" s="300"/>
      <c r="J16" s="24" t="s">
        <v>6</v>
      </c>
      <c r="K16" s="34">
        <f t="shared" si="1"/>
        <v>0.35881590750523273</v>
      </c>
      <c r="L16" s="35">
        <f t="shared" si="1"/>
        <v>0.14950662812718032</v>
      </c>
      <c r="M16" s="53">
        <f t="shared" si="1"/>
        <v>188.3783514402472</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314.02190923317681</v>
      </c>
      <c r="E20" s="29">
        <f t="shared" si="2"/>
        <v>2675.4666666666667</v>
      </c>
      <c r="F20" s="51">
        <f t="shared" si="2"/>
        <v>3.327694859038143</v>
      </c>
      <c r="G20" s="305" t="s">
        <v>253</v>
      </c>
      <c r="H20" s="300"/>
      <c r="J20" s="24" t="s">
        <v>9</v>
      </c>
      <c r="K20" s="28">
        <f t="shared" ref="K20:M23" si="3">IF(K27=0,"-",$D$34/K27)</f>
        <v>331.12211221122112</v>
      </c>
      <c r="L20" s="29">
        <f t="shared" si="3"/>
        <v>2675.4666666666667</v>
      </c>
      <c r="M20" s="51">
        <f t="shared" si="3"/>
        <v>3.3443333333333332</v>
      </c>
      <c r="N20" s="305" t="s">
        <v>132</v>
      </c>
      <c r="O20" s="300"/>
    </row>
    <row r="21" spans="1:16">
      <c r="C21" s="24" t="s">
        <v>7</v>
      </c>
      <c r="D21" s="31">
        <f t="shared" si="2"/>
        <v>343.008547008547</v>
      </c>
      <c r="E21" s="32">
        <f t="shared" si="2"/>
        <v>2675.4666666666667</v>
      </c>
      <c r="F21" s="52">
        <f t="shared" si="2"/>
        <v>3.3952622673434854</v>
      </c>
      <c r="G21" s="301"/>
      <c r="H21" s="300"/>
      <c r="J21" s="24" t="s">
        <v>7</v>
      </c>
      <c r="K21" s="31">
        <f t="shared" si="3"/>
        <v>631.00628930817606</v>
      </c>
      <c r="L21" s="32">
        <f t="shared" si="3"/>
        <v>3934.5098039215686</v>
      </c>
      <c r="M21" s="52">
        <f t="shared" si="3"/>
        <v>4.2876068376068375</v>
      </c>
      <c r="N21" s="301"/>
      <c r="O21" s="300"/>
    </row>
    <row r="22" spans="1:16">
      <c r="C22" s="24" t="s">
        <v>8</v>
      </c>
      <c r="D22" s="31">
        <f t="shared" si="2"/>
        <v>343.008547008547</v>
      </c>
      <c r="E22" s="32">
        <f t="shared" si="2"/>
        <v>2675.4666666666667</v>
      </c>
      <c r="F22" s="52">
        <f t="shared" si="2"/>
        <v>3.4125850340136052</v>
      </c>
      <c r="G22" s="301"/>
      <c r="H22" s="300"/>
      <c r="J22" s="24" t="s">
        <v>8</v>
      </c>
      <c r="K22" s="31">
        <f t="shared" si="3"/>
        <v>983.62745098039215</v>
      </c>
      <c r="L22" s="32">
        <f t="shared" si="3"/>
        <v>5573.8888888888887</v>
      </c>
      <c r="M22" s="52">
        <f t="shared" si="3"/>
        <v>5.1451282051282048</v>
      </c>
      <c r="N22" s="301"/>
      <c r="O22" s="300"/>
    </row>
    <row r="23" spans="1:16" ht="13.5" thickBot="1">
      <c r="C23" s="24" t="s">
        <v>6</v>
      </c>
      <c r="D23" s="34">
        <f t="shared" si="2"/>
        <v>365.50091074681234</v>
      </c>
      <c r="E23" s="35">
        <f t="shared" si="2"/>
        <v>3040.30303030303</v>
      </c>
      <c r="F23" s="53">
        <f t="shared" si="2"/>
        <v>3.4477663230240547</v>
      </c>
      <c r="G23" s="301"/>
      <c r="H23" s="300"/>
      <c r="J23" s="24" t="s">
        <v>6</v>
      </c>
      <c r="K23" s="34">
        <f t="shared" si="3"/>
        <v>2786.9444444444443</v>
      </c>
      <c r="L23" s="35">
        <f t="shared" si="3"/>
        <v>6688.6666666666661</v>
      </c>
      <c r="M23" s="53">
        <f t="shared" si="3"/>
        <v>5.3084656084656086</v>
      </c>
      <c r="N23" s="301"/>
      <c r="O23" s="300"/>
    </row>
    <row r="24" spans="1:16" ht="13.5" thickBot="1">
      <c r="F24" s="54"/>
    </row>
    <row r="25" spans="1:16" s="42" customFormat="1">
      <c r="A25" s="86" t="s">
        <v>255</v>
      </c>
      <c r="D25" s="43" t="s">
        <v>128</v>
      </c>
      <c r="E25" s="43" t="s">
        <v>129</v>
      </c>
      <c r="F25" s="55" t="s">
        <v>130</v>
      </c>
      <c r="H25" s="86"/>
      <c r="K25" s="99" t="s">
        <v>128</v>
      </c>
      <c r="L25" s="99" t="s">
        <v>129</v>
      </c>
      <c r="M25" s="101" t="s">
        <v>130</v>
      </c>
    </row>
    <row r="26" spans="1:16" ht="5.25" customHeight="1" thickBot="1">
      <c r="F26" s="54"/>
      <c r="K26" s="98"/>
      <c r="L26" s="98"/>
      <c r="M26" s="100"/>
    </row>
    <row r="27" spans="1:16" ht="12.75" customHeight="1">
      <c r="C27" s="24" t="s">
        <v>9</v>
      </c>
      <c r="D27" s="222">
        <v>2.1299999999999999E-2</v>
      </c>
      <c r="E27" s="231">
        <v>2.5000000000000001E-3</v>
      </c>
      <c r="F27" s="224">
        <v>2.0099999999999998</v>
      </c>
      <c r="G27" s="305" t="str">
        <f>"EOS pounds removed per '"&amp;E3&amp;"' of practice per year"</f>
        <v>EOS pounds removed per 'foot' of practice per year</v>
      </c>
      <c r="H27" s="300"/>
      <c r="J27" s="24" t="s">
        <v>9</v>
      </c>
      <c r="K27" s="95">
        <v>2.0199999999999999E-2</v>
      </c>
      <c r="L27" s="231">
        <v>2.5000000000000001E-3</v>
      </c>
      <c r="M27" s="224">
        <v>2</v>
      </c>
      <c r="N27" s="299" t="str">
        <f>"delivered pounds removed per '"&amp;E3&amp;"' of practice per year"</f>
        <v>delivered pounds removed per 'foot' of practice per year</v>
      </c>
      <c r="O27" s="300"/>
      <c r="P27" s="204"/>
    </row>
    <row r="28" spans="1:16">
      <c r="C28" s="24" t="s">
        <v>7</v>
      </c>
      <c r="D28" s="225">
        <v>1.95E-2</v>
      </c>
      <c r="E28" s="232">
        <v>2.5000000000000001E-3</v>
      </c>
      <c r="F28" s="227">
        <v>1.97</v>
      </c>
      <c r="G28" s="301"/>
      <c r="H28" s="300"/>
      <c r="J28" s="24" t="s">
        <v>7</v>
      </c>
      <c r="K28" s="96">
        <v>1.06E-2</v>
      </c>
      <c r="L28" s="232">
        <v>1.6999999999999999E-3</v>
      </c>
      <c r="M28" s="227">
        <v>1.56</v>
      </c>
      <c r="N28" s="301"/>
      <c r="O28" s="300"/>
      <c r="P28" s="204"/>
    </row>
    <row r="29" spans="1:16">
      <c r="C29" s="24" t="s">
        <v>8</v>
      </c>
      <c r="D29" s="225">
        <v>1.95E-2</v>
      </c>
      <c r="E29" s="232">
        <v>2.5000000000000001E-3</v>
      </c>
      <c r="F29" s="227">
        <v>1.96</v>
      </c>
      <c r="G29" s="301"/>
      <c r="H29" s="300"/>
      <c r="J29" s="24" t="s">
        <v>8</v>
      </c>
      <c r="K29" s="96">
        <v>6.7999999999999996E-3</v>
      </c>
      <c r="L29" s="232">
        <v>1.1999999999999999E-3</v>
      </c>
      <c r="M29" s="227">
        <v>1.3</v>
      </c>
      <c r="N29" s="301"/>
      <c r="O29" s="300"/>
      <c r="P29" s="204"/>
    </row>
    <row r="30" spans="1:16" ht="13.5" thickBot="1">
      <c r="C30" s="24" t="s">
        <v>6</v>
      </c>
      <c r="D30" s="228">
        <v>1.83E-2</v>
      </c>
      <c r="E30" s="233">
        <v>2.2000000000000001E-3</v>
      </c>
      <c r="F30" s="230">
        <v>1.94</v>
      </c>
      <c r="G30" s="301"/>
      <c r="H30" s="300"/>
      <c r="J30" s="24" t="s">
        <v>6</v>
      </c>
      <c r="K30" s="97">
        <v>2.3999999999999998E-3</v>
      </c>
      <c r="L30" s="233">
        <v>1E-3</v>
      </c>
      <c r="M30" s="230">
        <v>1.26</v>
      </c>
      <c r="N30" s="301"/>
      <c r="O30" s="300"/>
      <c r="P30" s="204"/>
    </row>
    <row r="31" spans="1:16" ht="13.5" thickBot="1">
      <c r="D31" s="98"/>
      <c r="E31" s="98"/>
      <c r="F31" s="100"/>
    </row>
    <row r="32" spans="1:16" s="42" customFormat="1">
      <c r="A32" s="86" t="s">
        <v>1</v>
      </c>
    </row>
    <row r="33" spans="1:12" ht="5.25" customHeight="1" thickBot="1"/>
    <row r="34" spans="1:12" ht="13.5" thickBot="1">
      <c r="C34" s="24" t="s">
        <v>11</v>
      </c>
      <c r="D34" s="46">
        <f>-PMT(D39,D38,D36)+D37</f>
        <v>6.6886666666666663</v>
      </c>
      <c r="E34" s="18" t="str">
        <f>"$ per '"&amp;E3&amp;"' of practice per year"</f>
        <v>$ per 'foot'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100.33</v>
      </c>
      <c r="E36" s="18" t="str">
        <f>"$ per '"&amp;E3&amp;"' of practice"</f>
        <v>$ per 'foot' of practice</v>
      </c>
      <c r="I36" s="78" t="s">
        <v>162</v>
      </c>
      <c r="J36" s="236">
        <v>85</v>
      </c>
      <c r="K36" s="235">
        <v>100.33</v>
      </c>
      <c r="L36" s="237">
        <f>AVERAGE(J36:K36)</f>
        <v>92.664999999999992</v>
      </c>
    </row>
    <row r="37" spans="1:12">
      <c r="C37" s="24" t="s">
        <v>12</v>
      </c>
      <c r="D37" s="39">
        <f>K37</f>
        <v>0</v>
      </c>
      <c r="E37" s="18" t="str">
        <f>"$ per '"&amp;E3&amp;"' of practice per year"</f>
        <v>$ per 'foot' of practice per year</v>
      </c>
      <c r="I37" s="78" t="s">
        <v>161</v>
      </c>
      <c r="J37" s="236">
        <v>8</v>
      </c>
      <c r="K37" s="235">
        <v>0</v>
      </c>
      <c r="L37" s="237">
        <f>AVERAGE(J37:K37)</f>
        <v>4</v>
      </c>
    </row>
    <row r="38" spans="1:12">
      <c r="C38" s="24" t="s">
        <v>13</v>
      </c>
      <c r="D38" s="249">
        <f>K38</f>
        <v>15</v>
      </c>
      <c r="E38" s="18" t="s">
        <v>15</v>
      </c>
      <c r="I38" s="78" t="s">
        <v>163</v>
      </c>
      <c r="J38" s="245">
        <v>20</v>
      </c>
      <c r="K38" s="244">
        <v>15</v>
      </c>
      <c r="L38" s="246">
        <v>20</v>
      </c>
    </row>
    <row r="39" spans="1:12" ht="13.5" thickBot="1">
      <c r="C39" s="24" t="s">
        <v>14</v>
      </c>
      <c r="D39" s="41">
        <f>Summary!C35</f>
        <v>0</v>
      </c>
      <c r="E39" s="18" t="s">
        <v>16</v>
      </c>
      <c r="I39" s="80" t="s">
        <v>166</v>
      </c>
      <c r="J39" s="239">
        <f>J37+(J36/J38)</f>
        <v>12.25</v>
      </c>
      <c r="K39" s="238">
        <f>K37+(K36/K38)</f>
        <v>6.6886666666666663</v>
      </c>
      <c r="L39" s="240">
        <f>AVERAGE(J39:K39)</f>
        <v>9.4693333333333332</v>
      </c>
    </row>
    <row r="40" spans="1:12">
      <c r="F40" s="234"/>
    </row>
    <row r="41" spans="1:12">
      <c r="I41" s="304" t="s">
        <v>263</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32.xml><?xml version="1.0" encoding="utf-8"?>
<worksheet xmlns="http://schemas.openxmlformats.org/spreadsheetml/2006/main" xmlns:r="http://schemas.openxmlformats.org/officeDocument/2006/relationships">
  <sheetPr codeName="Sheet28"/>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Nutrient Management</v>
      </c>
      <c r="I1" s="22"/>
      <c r="J1" s="37" t="s">
        <v>135</v>
      </c>
      <c r="K1" s="50">
        <v>23</v>
      </c>
      <c r="L1" s="22"/>
      <c r="M1" s="22"/>
      <c r="N1" s="22"/>
      <c r="O1" s="22"/>
      <c r="P1" s="22"/>
      <c r="Q1" s="22"/>
      <c r="R1" s="22"/>
    </row>
    <row r="2" spans="1:19" s="20" customFormat="1" ht="12.75" customHeight="1">
      <c r="D2" s="48" t="s">
        <v>3</v>
      </c>
      <c r="E2" s="19" t="str">
        <f>VLOOKUP($K$1,'BMP info'!A:G,4,FALSE)</f>
        <v>NutMan</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info'!A:G,7,FALSE)</f>
        <v>P5.3.2</v>
      </c>
      <c r="I4" s="23"/>
      <c r="K4" s="49"/>
      <c r="L4" s="23"/>
      <c r="M4" s="23"/>
      <c r="N4" s="23"/>
      <c r="O4" s="23"/>
      <c r="P4" s="23"/>
      <c r="Q4" s="23"/>
      <c r="R4" s="23"/>
      <c r="S4" s="23"/>
    </row>
    <row r="5" spans="1:19" s="20" customFormat="1">
      <c r="D5" s="48" t="s">
        <v>4</v>
      </c>
      <c r="E5" s="19" t="str">
        <f>VLOOKUP($K$1,'BMP info'!A:G,7,FALSE)</f>
        <v>P5.3.2</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154.28571428571428</v>
      </c>
      <c r="E13" s="29">
        <f t="shared" si="0"/>
        <v>22.857142857142858</v>
      </c>
      <c r="F13" s="51">
        <f t="shared" si="0"/>
        <v>571.42857142857144</v>
      </c>
      <c r="G13" s="305" t="s">
        <v>254</v>
      </c>
      <c r="H13" s="300"/>
      <c r="J13" s="24" t="s">
        <v>9</v>
      </c>
      <c r="K13" s="28">
        <f t="shared" ref="K13:M16" si="1">IF(K27*$D$34=0,"-",1000*K27/$D$34)</f>
        <v>85.714285714285708</v>
      </c>
      <c r="L13" s="29">
        <f t="shared" si="1"/>
        <v>22.857142857142858</v>
      </c>
      <c r="M13" s="51">
        <f t="shared" si="1"/>
        <v>571.42857142857144</v>
      </c>
      <c r="N13" s="305" t="s">
        <v>133</v>
      </c>
      <c r="O13" s="300"/>
    </row>
    <row r="14" spans="1:19">
      <c r="C14" s="24" t="s">
        <v>7</v>
      </c>
      <c r="D14" s="31">
        <f t="shared" si="0"/>
        <v>72.857142857142861</v>
      </c>
      <c r="E14" s="32">
        <f t="shared" si="0"/>
        <v>11.428571428571429</v>
      </c>
      <c r="F14" s="52">
        <f t="shared" si="0"/>
        <v>285.71428571428572</v>
      </c>
      <c r="G14" s="301"/>
      <c r="H14" s="300"/>
      <c r="J14" s="24" t="s">
        <v>7</v>
      </c>
      <c r="K14" s="31">
        <f t="shared" si="1"/>
        <v>45.714285714285715</v>
      </c>
      <c r="L14" s="32">
        <f t="shared" si="1"/>
        <v>10</v>
      </c>
      <c r="M14" s="52">
        <f t="shared" si="1"/>
        <v>285.71428571428572</v>
      </c>
      <c r="N14" s="301"/>
      <c r="O14" s="300"/>
    </row>
    <row r="15" spans="1:19">
      <c r="C15" s="24" t="s">
        <v>8</v>
      </c>
      <c r="D15" s="31">
        <f t="shared" si="0"/>
        <v>30</v>
      </c>
      <c r="E15" s="32">
        <f t="shared" si="0"/>
        <v>8.5714285714285712</v>
      </c>
      <c r="F15" s="52">
        <f t="shared" si="0"/>
        <v>285.71428571428572</v>
      </c>
      <c r="G15" s="301"/>
      <c r="H15" s="300"/>
      <c r="J15" s="24" t="s">
        <v>8</v>
      </c>
      <c r="K15" s="31">
        <f t="shared" si="1"/>
        <v>22.857142857142858</v>
      </c>
      <c r="L15" s="32">
        <f t="shared" si="1"/>
        <v>5.7142857142857144</v>
      </c>
      <c r="M15" s="52">
        <f t="shared" si="1"/>
        <v>285.71428571428572</v>
      </c>
      <c r="N15" s="301"/>
      <c r="O15" s="300"/>
    </row>
    <row r="16" spans="1:19" ht="13.5" thickBot="1">
      <c r="C16" s="24" t="s">
        <v>6</v>
      </c>
      <c r="D16" s="34">
        <f t="shared" si="0"/>
        <v>15.714285714285714</v>
      </c>
      <c r="E16" s="35">
        <f t="shared" si="0"/>
        <v>2.8571428571428572</v>
      </c>
      <c r="F16" s="53">
        <f t="shared" si="0"/>
        <v>142.85714285714286</v>
      </c>
      <c r="G16" s="301"/>
      <c r="H16" s="300"/>
      <c r="J16" s="24" t="s">
        <v>6</v>
      </c>
      <c r="K16" s="34">
        <f t="shared" si="1"/>
        <v>12.857142857142858</v>
      </c>
      <c r="L16" s="35">
        <f t="shared" si="1"/>
        <v>1.4285714285714286</v>
      </c>
      <c r="M16" s="53">
        <f t="shared" si="1"/>
        <v>142.85714285714286</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6.481481481481481</v>
      </c>
      <c r="E20" s="29">
        <f t="shared" si="2"/>
        <v>43.75</v>
      </c>
      <c r="F20" s="51">
        <f t="shared" si="2"/>
        <v>1.75</v>
      </c>
      <c r="G20" s="305" t="s">
        <v>253</v>
      </c>
      <c r="H20" s="300"/>
      <c r="J20" s="24" t="s">
        <v>9</v>
      </c>
      <c r="K20" s="28">
        <f t="shared" ref="K20:M23" si="3">IF(K27=0,"-",$D$34/K27)</f>
        <v>11.666666666666668</v>
      </c>
      <c r="L20" s="29">
        <f t="shared" si="3"/>
        <v>43.75</v>
      </c>
      <c r="M20" s="51">
        <f t="shared" si="3"/>
        <v>1.75</v>
      </c>
      <c r="N20" s="305" t="s">
        <v>132</v>
      </c>
      <c r="O20" s="300"/>
    </row>
    <row r="21" spans="1:16">
      <c r="C21" s="24" t="s">
        <v>7</v>
      </c>
      <c r="D21" s="31">
        <f t="shared" si="2"/>
        <v>13.725490196078431</v>
      </c>
      <c r="E21" s="32">
        <f t="shared" si="2"/>
        <v>87.5</v>
      </c>
      <c r="F21" s="52">
        <f t="shared" si="2"/>
        <v>3.5</v>
      </c>
      <c r="G21" s="301"/>
      <c r="H21" s="300"/>
      <c r="J21" s="24" t="s">
        <v>7</v>
      </c>
      <c r="K21" s="31">
        <f t="shared" si="3"/>
        <v>21.875</v>
      </c>
      <c r="L21" s="32">
        <f t="shared" si="3"/>
        <v>99.999999999999986</v>
      </c>
      <c r="M21" s="52">
        <f t="shared" si="3"/>
        <v>3.5</v>
      </c>
      <c r="N21" s="301"/>
      <c r="O21" s="300"/>
    </row>
    <row r="22" spans="1:16">
      <c r="C22" s="24" t="s">
        <v>8</v>
      </c>
      <c r="D22" s="31">
        <f t="shared" si="2"/>
        <v>33.333333333333336</v>
      </c>
      <c r="E22" s="32">
        <f t="shared" si="2"/>
        <v>116.66666666666667</v>
      </c>
      <c r="F22" s="52">
        <f t="shared" si="2"/>
        <v>3.5</v>
      </c>
      <c r="G22" s="301"/>
      <c r="H22" s="300"/>
      <c r="J22" s="24" t="s">
        <v>8</v>
      </c>
      <c r="K22" s="31">
        <f t="shared" si="3"/>
        <v>43.75</v>
      </c>
      <c r="L22" s="32">
        <f t="shared" si="3"/>
        <v>175</v>
      </c>
      <c r="M22" s="52">
        <f t="shared" si="3"/>
        <v>3.5</v>
      </c>
      <c r="N22" s="301"/>
      <c r="O22" s="300"/>
    </row>
    <row r="23" spans="1:16" ht="13.5" thickBot="1">
      <c r="C23" s="24" t="s">
        <v>6</v>
      </c>
      <c r="D23" s="34">
        <f t="shared" si="2"/>
        <v>63.636363636363633</v>
      </c>
      <c r="E23" s="35">
        <f t="shared" si="2"/>
        <v>350</v>
      </c>
      <c r="F23" s="53">
        <f t="shared" si="2"/>
        <v>7</v>
      </c>
      <c r="G23" s="301"/>
      <c r="H23" s="300"/>
      <c r="J23" s="24" t="s">
        <v>6</v>
      </c>
      <c r="K23" s="34">
        <f t="shared" si="3"/>
        <v>77.777777777777786</v>
      </c>
      <c r="L23" s="35">
        <f t="shared" si="3"/>
        <v>700</v>
      </c>
      <c r="M23" s="53">
        <f t="shared" si="3"/>
        <v>7</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1.08</v>
      </c>
      <c r="E27" s="209">
        <v>0.16</v>
      </c>
      <c r="F27" s="210">
        <v>4</v>
      </c>
      <c r="G27" s="305" t="str">
        <f>"EOS pounds removed per '"&amp;E3&amp;"' of practice per year"</f>
        <v>EOS pounds removed per 'acre' of practice per year</v>
      </c>
      <c r="H27" s="300"/>
      <c r="J27" s="24" t="s">
        <v>9</v>
      </c>
      <c r="K27" s="56">
        <v>0.6</v>
      </c>
      <c r="L27" s="209">
        <v>0.16</v>
      </c>
      <c r="M27" s="210">
        <v>4</v>
      </c>
      <c r="N27" s="299" t="str">
        <f>"delivered pounds removed per '"&amp;E3&amp;"' of practice per year"</f>
        <v>delivered pounds removed per 'acre' of practice per year</v>
      </c>
      <c r="O27" s="300"/>
      <c r="P27" s="204"/>
    </row>
    <row r="28" spans="1:16">
      <c r="C28" s="24" t="s">
        <v>7</v>
      </c>
      <c r="D28" s="211">
        <v>0.51</v>
      </c>
      <c r="E28" s="212">
        <v>0.08</v>
      </c>
      <c r="F28" s="213">
        <v>2</v>
      </c>
      <c r="G28" s="301"/>
      <c r="H28" s="300"/>
      <c r="J28" s="24" t="s">
        <v>7</v>
      </c>
      <c r="K28" s="57">
        <v>0.32</v>
      </c>
      <c r="L28" s="212">
        <v>7.0000000000000007E-2</v>
      </c>
      <c r="M28" s="213">
        <v>2</v>
      </c>
      <c r="N28" s="301"/>
      <c r="O28" s="300"/>
      <c r="P28" s="204"/>
    </row>
    <row r="29" spans="1:16">
      <c r="C29" s="24" t="s">
        <v>8</v>
      </c>
      <c r="D29" s="211">
        <v>0.21</v>
      </c>
      <c r="E29" s="212">
        <v>0.06</v>
      </c>
      <c r="F29" s="213">
        <v>2</v>
      </c>
      <c r="G29" s="301"/>
      <c r="H29" s="300"/>
      <c r="J29" s="24" t="s">
        <v>8</v>
      </c>
      <c r="K29" s="57">
        <v>0.16</v>
      </c>
      <c r="L29" s="212">
        <v>0.04</v>
      </c>
      <c r="M29" s="213">
        <v>2</v>
      </c>
      <c r="N29" s="301"/>
      <c r="O29" s="300"/>
      <c r="P29" s="204"/>
    </row>
    <row r="30" spans="1:16" ht="13.5" thickBot="1">
      <c r="C30" s="24" t="s">
        <v>6</v>
      </c>
      <c r="D30" s="214">
        <v>0.11</v>
      </c>
      <c r="E30" s="215">
        <v>0.02</v>
      </c>
      <c r="F30" s="216">
        <v>1</v>
      </c>
      <c r="G30" s="301"/>
      <c r="H30" s="300"/>
      <c r="J30" s="24" t="s">
        <v>6</v>
      </c>
      <c r="K30" s="58">
        <v>0.09</v>
      </c>
      <c r="L30" s="215">
        <v>0.01</v>
      </c>
      <c r="M30" s="216">
        <v>1</v>
      </c>
      <c r="N30" s="301"/>
      <c r="O30" s="300"/>
      <c r="P30" s="204"/>
    </row>
    <row r="31" spans="1:16" ht="13.5" thickBot="1"/>
    <row r="32" spans="1:16" s="42" customFormat="1">
      <c r="A32" s="86" t="s">
        <v>1</v>
      </c>
    </row>
    <row r="33" spans="1:12" ht="5.25" customHeight="1" thickBot="1"/>
    <row r="34" spans="1:12" ht="13.5" thickBot="1">
      <c r="C34" s="24" t="s">
        <v>11</v>
      </c>
      <c r="D34" s="46">
        <f>-PMT(D39,D38,D36)+D37</f>
        <v>7</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0</v>
      </c>
      <c r="E36" s="18" t="str">
        <f>"$ per '"&amp;E3&amp;"' of practice"</f>
        <v>$ per 'acre' of practice</v>
      </c>
      <c r="I36" s="78" t="s">
        <v>162</v>
      </c>
      <c r="J36" s="236">
        <v>0</v>
      </c>
      <c r="K36" s="235">
        <v>0</v>
      </c>
      <c r="L36" s="237">
        <f>(J36/J38+K36/K38)/2</f>
        <v>0</v>
      </c>
    </row>
    <row r="37" spans="1:12">
      <c r="C37" s="24" t="s">
        <v>12</v>
      </c>
      <c r="D37" s="39">
        <f>K37</f>
        <v>7</v>
      </c>
      <c r="E37" s="18" t="str">
        <f>"$ per '"&amp;E3&amp;"' of practice per year"</f>
        <v>$ per 'acre' of practice per year</v>
      </c>
      <c r="I37" s="78" t="s">
        <v>161</v>
      </c>
      <c r="J37" s="236">
        <v>19.100000000000001</v>
      </c>
      <c r="K37" s="235">
        <v>7</v>
      </c>
      <c r="L37" s="237">
        <f>AVERAGE(J37:K37)</f>
        <v>13.05</v>
      </c>
    </row>
    <row r="38" spans="1:12">
      <c r="C38" s="24" t="s">
        <v>13</v>
      </c>
      <c r="D38" s="40">
        <v>1</v>
      </c>
      <c r="E38" s="18" t="s">
        <v>15</v>
      </c>
      <c r="I38" s="78" t="s">
        <v>163</v>
      </c>
      <c r="J38" s="245">
        <v>1</v>
      </c>
      <c r="K38" s="244">
        <v>1</v>
      </c>
      <c r="L38" s="246">
        <v>1</v>
      </c>
    </row>
    <row r="39" spans="1:12" ht="13.5" thickBot="1">
      <c r="C39" s="24" t="s">
        <v>14</v>
      </c>
      <c r="D39" s="41">
        <f>Summary!C35</f>
        <v>0</v>
      </c>
      <c r="E39" s="18" t="s">
        <v>16</v>
      </c>
      <c r="I39" s="80" t="s">
        <v>166</v>
      </c>
      <c r="J39" s="239">
        <f>J37+(J36/J38)</f>
        <v>19.100000000000001</v>
      </c>
      <c r="K39" s="238">
        <f>K37+(K36/K38)</f>
        <v>7</v>
      </c>
      <c r="L39" s="240">
        <f>AVERAGE(J39:K39)</f>
        <v>13.05</v>
      </c>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sheetPr codeName="Sheet51"/>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1" width="9.28515625" style="17" bestFit="1" customWidth="1"/>
    <col min="12" max="12" width="11" style="17" bestFit="1" customWidth="1"/>
    <col min="13" max="16384" width="9.140625" style="17"/>
  </cols>
  <sheetData>
    <row r="1" spans="1:19" s="20" customFormat="1" ht="21" customHeight="1">
      <c r="A1" s="302" t="s">
        <v>136</v>
      </c>
      <c r="B1" s="303"/>
      <c r="D1" s="25" t="s">
        <v>134</v>
      </c>
      <c r="E1" s="89" t="str">
        <f>VLOOKUP($K$1,'BMP info'!A:G,3,FALSE)</f>
        <v>Off Stream Watering Without Fencing</v>
      </c>
      <c r="I1" s="22"/>
      <c r="J1" s="37" t="s">
        <v>135</v>
      </c>
      <c r="K1" s="50">
        <v>24</v>
      </c>
      <c r="L1" s="22"/>
      <c r="M1" s="22"/>
      <c r="N1" s="22"/>
      <c r="O1" s="22"/>
      <c r="P1" s="22"/>
      <c r="Q1" s="22"/>
      <c r="R1" s="22"/>
    </row>
    <row r="2" spans="1:19" s="20" customFormat="1" ht="12.75" customHeight="1">
      <c r="D2" s="48" t="s">
        <v>3</v>
      </c>
      <c r="E2" s="19" t="str">
        <f>VLOOKUP($K$1,'BMP info'!A:G,4,FALSE)</f>
        <v>OSWnoFence</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efficiency applied</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9.0725440623223292</v>
      </c>
      <c r="E13" s="29">
        <f t="shared" si="0"/>
        <v>1.5725743041358704</v>
      </c>
      <c r="F13" s="51">
        <f t="shared" si="0"/>
        <v>907.2544062322329</v>
      </c>
      <c r="G13" s="305" t="s">
        <v>254</v>
      </c>
      <c r="H13" s="300"/>
      <c r="J13" s="24" t="s">
        <v>9</v>
      </c>
      <c r="K13" s="28">
        <f t="shared" ref="K13:M16" si="1">IF(K27*$D$34=0,"-",1000*K27/$D$34)</f>
        <v>5.6854609457219931</v>
      </c>
      <c r="L13" s="29">
        <f t="shared" si="1"/>
        <v>0.72580352498578637</v>
      </c>
      <c r="M13" s="51">
        <f t="shared" si="1"/>
        <v>544.35264373933978</v>
      </c>
      <c r="N13" s="305" t="s">
        <v>133</v>
      </c>
      <c r="O13" s="300"/>
    </row>
    <row r="14" spans="1:19">
      <c r="C14" s="24" t="s">
        <v>7</v>
      </c>
      <c r="D14" s="31">
        <f t="shared" si="0"/>
        <v>5.5644936915576952</v>
      </c>
      <c r="E14" s="32">
        <f t="shared" si="0"/>
        <v>0.84677077915008403</v>
      </c>
      <c r="F14" s="52">
        <f t="shared" si="0"/>
        <v>374.99848790932293</v>
      </c>
      <c r="G14" s="301"/>
      <c r="H14" s="300"/>
      <c r="J14" s="24" t="s">
        <v>7</v>
      </c>
      <c r="K14" s="31">
        <f t="shared" si="1"/>
        <v>2.7822468457788476</v>
      </c>
      <c r="L14" s="32">
        <f t="shared" si="1"/>
        <v>0.4838690166571909</v>
      </c>
      <c r="M14" s="52">
        <f t="shared" si="1"/>
        <v>241.93450832859546</v>
      </c>
      <c r="N14" s="301"/>
      <c r="O14" s="300"/>
    </row>
    <row r="15" spans="1:19">
      <c r="C15" s="24" t="s">
        <v>8</v>
      </c>
      <c r="D15" s="31">
        <f t="shared" si="0"/>
        <v>4.4757884040790161</v>
      </c>
      <c r="E15" s="32">
        <f t="shared" si="0"/>
        <v>0.60483627082148861</v>
      </c>
      <c r="F15" s="52">
        <f t="shared" si="0"/>
        <v>254.03123374502522</v>
      </c>
      <c r="G15" s="301"/>
      <c r="H15" s="300"/>
      <c r="J15" s="24" t="s">
        <v>8</v>
      </c>
      <c r="K15" s="31">
        <f t="shared" si="1"/>
        <v>2.5403123374502523</v>
      </c>
      <c r="L15" s="32">
        <f t="shared" si="1"/>
        <v>0.4838690166571909</v>
      </c>
      <c r="M15" s="52">
        <f t="shared" si="1"/>
        <v>169.35415583001682</v>
      </c>
      <c r="N15" s="301"/>
      <c r="O15" s="300"/>
    </row>
    <row r="16" spans="1:19" ht="13.5" thickBot="1">
      <c r="C16" s="24" t="s">
        <v>6</v>
      </c>
      <c r="D16" s="34">
        <f t="shared" si="0"/>
        <v>2.1774105749573591</v>
      </c>
      <c r="E16" s="35">
        <f t="shared" si="0"/>
        <v>0.36290176249289319</v>
      </c>
      <c r="F16" s="53">
        <f t="shared" si="0"/>
        <v>48.386901665719087</v>
      </c>
      <c r="G16" s="301"/>
      <c r="H16" s="300"/>
      <c r="J16" s="24" t="s">
        <v>6</v>
      </c>
      <c r="K16" s="34">
        <f t="shared" si="1"/>
        <v>0.60483627082148861</v>
      </c>
      <c r="L16" s="35">
        <f t="shared" si="1"/>
        <v>0.24193450832859545</v>
      </c>
      <c r="M16" s="53">
        <f t="shared" si="1"/>
        <v>36.290176249289317</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110.22266666666667</v>
      </c>
      <c r="E20" s="29">
        <f t="shared" si="2"/>
        <v>635.9</v>
      </c>
      <c r="F20" s="51">
        <f t="shared" si="2"/>
        <v>1.1022266666666667</v>
      </c>
      <c r="G20" s="305" t="s">
        <v>253</v>
      </c>
      <c r="H20" s="300"/>
      <c r="J20" s="24" t="s">
        <v>9</v>
      </c>
      <c r="K20" s="28">
        <f t="shared" ref="K20:M23" si="3">IF(K27=0,"-",$D$34/K27)</f>
        <v>175.88723404255322</v>
      </c>
      <c r="L20" s="29">
        <f t="shared" si="3"/>
        <v>1377.7833333333333</v>
      </c>
      <c r="M20" s="51">
        <f t="shared" si="3"/>
        <v>1.8370444444444445</v>
      </c>
      <c r="N20" s="305" t="s">
        <v>132</v>
      </c>
      <c r="O20" s="300"/>
    </row>
    <row r="21" spans="1:16">
      <c r="C21" s="24" t="s">
        <v>7</v>
      </c>
      <c r="D21" s="31">
        <f t="shared" si="2"/>
        <v>179.71086956521739</v>
      </c>
      <c r="E21" s="32">
        <f t="shared" si="2"/>
        <v>1180.9571428571428</v>
      </c>
      <c r="F21" s="52">
        <f t="shared" si="2"/>
        <v>2.6666774193548388</v>
      </c>
      <c r="G21" s="301"/>
      <c r="H21" s="300"/>
      <c r="J21" s="24" t="s">
        <v>7</v>
      </c>
      <c r="K21" s="31">
        <f t="shared" si="3"/>
        <v>359.42173913043479</v>
      </c>
      <c r="L21" s="32">
        <f t="shared" si="3"/>
        <v>2066.6750000000002</v>
      </c>
      <c r="M21" s="52">
        <f t="shared" si="3"/>
        <v>4.1333500000000001</v>
      </c>
      <c r="N21" s="301"/>
      <c r="O21" s="300"/>
    </row>
    <row r="22" spans="1:16">
      <c r="C22" s="24" t="s">
        <v>8</v>
      </c>
      <c r="D22" s="31">
        <f t="shared" si="2"/>
        <v>223.42432432432435</v>
      </c>
      <c r="E22" s="32">
        <f t="shared" si="2"/>
        <v>1653.34</v>
      </c>
      <c r="F22" s="52">
        <f t="shared" si="2"/>
        <v>3.9365238095238095</v>
      </c>
      <c r="G22" s="301"/>
      <c r="H22" s="300"/>
      <c r="J22" s="24" t="s">
        <v>8</v>
      </c>
      <c r="K22" s="31">
        <f t="shared" si="3"/>
        <v>393.65238095238095</v>
      </c>
      <c r="L22" s="32">
        <f t="shared" si="3"/>
        <v>2066.6750000000002</v>
      </c>
      <c r="M22" s="52">
        <f t="shared" si="3"/>
        <v>5.9047857142857145</v>
      </c>
      <c r="N22" s="301"/>
      <c r="O22" s="300"/>
    </row>
    <row r="23" spans="1:16" ht="13.5" thickBot="1">
      <c r="C23" s="24" t="s">
        <v>6</v>
      </c>
      <c r="D23" s="34">
        <f t="shared" si="2"/>
        <v>459.26111111111112</v>
      </c>
      <c r="E23" s="35">
        <f t="shared" si="2"/>
        <v>2755.5666666666666</v>
      </c>
      <c r="F23" s="53">
        <f t="shared" si="2"/>
        <v>20.66675</v>
      </c>
      <c r="G23" s="301"/>
      <c r="H23" s="300"/>
      <c r="J23" s="24" t="s">
        <v>6</v>
      </c>
      <c r="K23" s="34">
        <f t="shared" si="3"/>
        <v>1653.34</v>
      </c>
      <c r="L23" s="35">
        <f t="shared" si="3"/>
        <v>4133.3500000000004</v>
      </c>
      <c r="M23" s="53">
        <f t="shared" si="3"/>
        <v>27.555666666666667</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0.75</v>
      </c>
      <c r="E27" s="209">
        <v>0.13</v>
      </c>
      <c r="F27" s="210">
        <v>75</v>
      </c>
      <c r="G27" s="305" t="str">
        <f>"EOS pounds removed per '"&amp;E3&amp;"' of practice per year"</f>
        <v>EOS pounds removed per 'acre' of practice per year</v>
      </c>
      <c r="H27" s="300"/>
      <c r="J27" s="24" t="s">
        <v>9</v>
      </c>
      <c r="K27" s="56">
        <v>0.47</v>
      </c>
      <c r="L27" s="209">
        <v>0.06</v>
      </c>
      <c r="M27" s="210">
        <v>45</v>
      </c>
      <c r="N27" s="299" t="str">
        <f>"delivered pounds removed per '"&amp;E3&amp;"' of practice per year"</f>
        <v>delivered pounds removed per 'acre' of practice per year</v>
      </c>
      <c r="O27" s="300"/>
      <c r="P27" s="204"/>
    </row>
    <row r="28" spans="1:16">
      <c r="C28" s="24" t="s">
        <v>7</v>
      </c>
      <c r="D28" s="211">
        <v>0.46</v>
      </c>
      <c r="E28" s="212">
        <v>7.0000000000000007E-2</v>
      </c>
      <c r="F28" s="213">
        <v>31</v>
      </c>
      <c r="G28" s="301"/>
      <c r="H28" s="300"/>
      <c r="J28" s="24" t="s">
        <v>7</v>
      </c>
      <c r="K28" s="57">
        <v>0.23</v>
      </c>
      <c r="L28" s="212">
        <v>0.04</v>
      </c>
      <c r="M28" s="213">
        <v>20</v>
      </c>
      <c r="N28" s="301"/>
      <c r="O28" s="300"/>
      <c r="P28" s="204"/>
    </row>
    <row r="29" spans="1:16">
      <c r="C29" s="24" t="s">
        <v>8</v>
      </c>
      <c r="D29" s="211">
        <v>0.37</v>
      </c>
      <c r="E29" s="212">
        <v>0.05</v>
      </c>
      <c r="F29" s="213">
        <v>21</v>
      </c>
      <c r="G29" s="301"/>
      <c r="H29" s="300"/>
      <c r="J29" s="24" t="s">
        <v>8</v>
      </c>
      <c r="K29" s="57">
        <v>0.21</v>
      </c>
      <c r="L29" s="212">
        <v>0.04</v>
      </c>
      <c r="M29" s="213">
        <v>14</v>
      </c>
      <c r="N29" s="301"/>
      <c r="O29" s="300"/>
      <c r="P29" s="204"/>
    </row>
    <row r="30" spans="1:16" ht="13.5" thickBot="1">
      <c r="C30" s="24" t="s">
        <v>6</v>
      </c>
      <c r="D30" s="214">
        <v>0.18</v>
      </c>
      <c r="E30" s="215">
        <v>0.03</v>
      </c>
      <c r="F30" s="216">
        <v>4</v>
      </c>
      <c r="G30" s="301"/>
      <c r="H30" s="300"/>
      <c r="J30" s="24" t="s">
        <v>6</v>
      </c>
      <c r="K30" s="58">
        <v>0.05</v>
      </c>
      <c r="L30" s="215">
        <v>0.02</v>
      </c>
      <c r="M30" s="216">
        <v>3</v>
      </c>
      <c r="N30" s="301"/>
      <c r="O30" s="300"/>
      <c r="P30" s="204"/>
    </row>
    <row r="31" spans="1:16" ht="13.5" thickBot="1"/>
    <row r="32" spans="1:16" s="42" customFormat="1">
      <c r="A32" s="86" t="s">
        <v>1</v>
      </c>
    </row>
    <row r="33" spans="1:12" ht="5.25" customHeight="1" thickBot="1"/>
    <row r="34" spans="1:12" ht="13.5" thickBot="1">
      <c r="C34" s="24" t="s">
        <v>11</v>
      </c>
      <c r="D34" s="46">
        <f>-PMT(D39,D38,D36)+D37</f>
        <v>82.667000000000002</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826.67</v>
      </c>
      <c r="E36" s="18" t="str">
        <f>"$ per '"&amp;E3&amp;"' of practice"</f>
        <v>$ per 'acre' of practice</v>
      </c>
      <c r="I36" s="78" t="s">
        <v>162</v>
      </c>
      <c r="J36" s="236">
        <v>21483</v>
      </c>
      <c r="K36" s="235">
        <v>826.67</v>
      </c>
      <c r="L36" s="237">
        <f>AVERAGE(J36:K36)</f>
        <v>11154.834999999999</v>
      </c>
    </row>
    <row r="37" spans="1:12">
      <c r="C37" s="24" t="s">
        <v>12</v>
      </c>
      <c r="D37" s="39">
        <f>K37</f>
        <v>0</v>
      </c>
      <c r="E37" s="18" t="str">
        <f>"$ per '"&amp;E3&amp;"' of practice per year"</f>
        <v>$ per 'acre' of practice per year</v>
      </c>
      <c r="I37" s="78" t="s">
        <v>161</v>
      </c>
      <c r="J37" s="236">
        <v>0</v>
      </c>
      <c r="K37" s="235"/>
      <c r="L37" s="237">
        <f>AVERAGE(J37:K37)</f>
        <v>0</v>
      </c>
    </row>
    <row r="38" spans="1:12">
      <c r="C38" s="24" t="s">
        <v>13</v>
      </c>
      <c r="D38" s="249">
        <f>K38</f>
        <v>10</v>
      </c>
      <c r="E38" s="18" t="s">
        <v>15</v>
      </c>
      <c r="I38" s="78" t="s">
        <v>163</v>
      </c>
      <c r="J38" s="245">
        <v>15</v>
      </c>
      <c r="K38" s="244">
        <v>10</v>
      </c>
      <c r="L38" s="246">
        <v>15</v>
      </c>
    </row>
    <row r="39" spans="1:12" ht="13.5" thickBot="1">
      <c r="C39" s="24" t="s">
        <v>14</v>
      </c>
      <c r="D39" s="41">
        <f>Summary!C35</f>
        <v>0</v>
      </c>
      <c r="E39" s="18" t="s">
        <v>16</v>
      </c>
      <c r="I39" s="80" t="s">
        <v>166</v>
      </c>
      <c r="J39" s="239">
        <f>J37+(J36/J38)</f>
        <v>1432.2</v>
      </c>
      <c r="K39" s="238">
        <f>K37+(K36/K38)</f>
        <v>82.667000000000002</v>
      </c>
      <c r="L39" s="240">
        <f>AVERAGE(J39:K39)</f>
        <v>757.43349999999998</v>
      </c>
    </row>
    <row r="40" spans="1:12">
      <c r="F40" s="234"/>
    </row>
    <row r="41" spans="1:12">
      <c r="I41" s="304" t="s">
        <v>274</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sheetPr codeName="Sheet64"/>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1" width="9.28515625" style="17" bestFit="1" customWidth="1"/>
    <col min="12" max="12" width="11" style="17" bestFit="1" customWidth="1"/>
    <col min="13" max="16384" width="9.140625" style="17"/>
  </cols>
  <sheetData>
    <row r="1" spans="1:19" s="20" customFormat="1" ht="21" customHeight="1">
      <c r="A1" s="302" t="s">
        <v>136</v>
      </c>
      <c r="B1" s="303"/>
      <c r="D1" s="25" t="s">
        <v>134</v>
      </c>
      <c r="E1" s="89" t="str">
        <f>VLOOKUP($K$1,'BMP info'!A:G,3,FALSE)</f>
        <v>Stream Access Control with Fencing</v>
      </c>
      <c r="I1" s="22"/>
      <c r="J1" s="37" t="s">
        <v>135</v>
      </c>
      <c r="K1" s="50">
        <v>25</v>
      </c>
      <c r="L1" s="22"/>
      <c r="M1" s="22"/>
      <c r="N1" s="22"/>
      <c r="O1" s="22"/>
      <c r="P1" s="22"/>
      <c r="Q1" s="22"/>
      <c r="R1" s="22"/>
    </row>
    <row r="2" spans="1:19" s="20" customFormat="1" ht="12.75" customHeight="1">
      <c r="D2" s="48" t="s">
        <v>3</v>
      </c>
      <c r="E2" s="19" t="str">
        <f>VLOOKUP($K$1,'BMP info'!A:G,4,FALSE)</f>
        <v>PastFence</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landuse change</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2198.4962406015038</v>
      </c>
      <c r="E13" s="29">
        <f t="shared" si="0"/>
        <v>228.89366272824921</v>
      </c>
      <c r="F13" s="51">
        <f t="shared" si="0"/>
        <v>90118.15252416757</v>
      </c>
      <c r="G13" s="305" t="s">
        <v>254</v>
      </c>
      <c r="H13" s="300"/>
      <c r="J13" s="24" t="s">
        <v>9</v>
      </c>
      <c r="K13" s="28">
        <f t="shared" ref="K13:M16" si="1">IF(K27*$D$34=0,"-",1000*K27/$D$34)</f>
        <v>1412.8893662728251</v>
      </c>
      <c r="L13" s="29">
        <f t="shared" si="1"/>
        <v>107.41138560687433</v>
      </c>
      <c r="M13" s="51">
        <f t="shared" si="1"/>
        <v>59087.003222341569</v>
      </c>
      <c r="N13" s="305" t="s">
        <v>133</v>
      </c>
      <c r="O13" s="300"/>
    </row>
    <row r="14" spans="1:19">
      <c r="C14" s="24" t="s">
        <v>7</v>
      </c>
      <c r="D14" s="31">
        <f t="shared" si="0"/>
        <v>1329.3233082706768</v>
      </c>
      <c r="E14" s="32">
        <f t="shared" si="0"/>
        <v>133.08270676691731</v>
      </c>
      <c r="F14" s="52">
        <f t="shared" si="0"/>
        <v>43351.235230934479</v>
      </c>
      <c r="G14" s="301"/>
      <c r="H14" s="300"/>
      <c r="J14" s="24" t="s">
        <v>7</v>
      </c>
      <c r="K14" s="31">
        <f t="shared" si="1"/>
        <v>648.9795918367347</v>
      </c>
      <c r="L14" s="32">
        <f t="shared" si="1"/>
        <v>68.528464017185826</v>
      </c>
      <c r="M14" s="52">
        <f t="shared" si="1"/>
        <v>27239.527389903331</v>
      </c>
      <c r="N14" s="301"/>
      <c r="O14" s="300"/>
    </row>
    <row r="15" spans="1:19">
      <c r="C15" s="24" t="s">
        <v>8</v>
      </c>
      <c r="D15" s="31">
        <f t="shared" si="0"/>
        <v>1175.187969924812</v>
      </c>
      <c r="E15" s="32">
        <f t="shared" si="0"/>
        <v>128.46401718582172</v>
      </c>
      <c r="F15" s="52">
        <f t="shared" si="0"/>
        <v>31127.819548872183</v>
      </c>
      <c r="G15" s="301"/>
      <c r="H15" s="300"/>
      <c r="J15" s="24" t="s">
        <v>8</v>
      </c>
      <c r="K15" s="31">
        <f t="shared" si="1"/>
        <v>519.54887218045121</v>
      </c>
      <c r="L15" s="32">
        <f t="shared" si="1"/>
        <v>71.750805585392058</v>
      </c>
      <c r="M15" s="52">
        <f t="shared" si="1"/>
        <v>17432.867883995703</v>
      </c>
      <c r="N15" s="301"/>
      <c r="O15" s="300"/>
    </row>
    <row r="16" spans="1:19" ht="13.5" thickBot="1">
      <c r="C16" s="24" t="s">
        <v>6</v>
      </c>
      <c r="D16" s="34">
        <f t="shared" si="0"/>
        <v>426.53061224489801</v>
      </c>
      <c r="E16" s="35">
        <f t="shared" si="0"/>
        <v>51.342642320085929</v>
      </c>
      <c r="F16" s="53">
        <f t="shared" si="0"/>
        <v>2738.9903329752956</v>
      </c>
      <c r="G16" s="301"/>
      <c r="H16" s="300"/>
      <c r="J16" s="24" t="s">
        <v>6</v>
      </c>
      <c r="K16" s="34">
        <f t="shared" si="1"/>
        <v>86.358754027926949</v>
      </c>
      <c r="L16" s="35">
        <f t="shared" si="1"/>
        <v>26.960257787325457</v>
      </c>
      <c r="M16" s="53">
        <f t="shared" si="1"/>
        <v>2180.4511278195491</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0.45485636114911077</v>
      </c>
      <c r="E20" s="29">
        <f t="shared" si="2"/>
        <v>4.368840919755983</v>
      </c>
      <c r="F20" s="51">
        <f t="shared" si="2"/>
        <v>1.1096543504171632E-2</v>
      </c>
      <c r="G20" s="305" t="s">
        <v>253</v>
      </c>
      <c r="H20" s="300"/>
      <c r="J20" s="24" t="s">
        <v>9</v>
      </c>
      <c r="K20" s="28">
        <f t="shared" ref="K20:M23" si="3">IF(K27=0,"-",$D$34/K27)</f>
        <v>0.70776949977193249</v>
      </c>
      <c r="L20" s="29">
        <f t="shared" si="3"/>
        <v>9.3099999999999987</v>
      </c>
      <c r="M20" s="51">
        <f t="shared" si="3"/>
        <v>1.6924195600799854E-2</v>
      </c>
      <c r="N20" s="305" t="s">
        <v>132</v>
      </c>
      <c r="O20" s="300"/>
    </row>
    <row r="21" spans="1:16">
      <c r="C21" s="24" t="s">
        <v>7</v>
      </c>
      <c r="D21" s="31">
        <f t="shared" si="2"/>
        <v>0.75226244343891391</v>
      </c>
      <c r="E21" s="32">
        <f t="shared" si="2"/>
        <v>7.5141242937853097</v>
      </c>
      <c r="F21" s="52">
        <f t="shared" si="2"/>
        <v>2.3067393458870166E-2</v>
      </c>
      <c r="G21" s="301"/>
      <c r="H21" s="300"/>
      <c r="J21" s="24" t="s">
        <v>7</v>
      </c>
      <c r="K21" s="31">
        <f t="shared" si="3"/>
        <v>1.540880503144654</v>
      </c>
      <c r="L21" s="32">
        <f t="shared" si="3"/>
        <v>14.592476489028213</v>
      </c>
      <c r="M21" s="52">
        <f t="shared" si="3"/>
        <v>3.6711356466876968E-2</v>
      </c>
      <c r="N21" s="301"/>
      <c r="O21" s="300"/>
    </row>
    <row r="22" spans="1:16">
      <c r="C22" s="24" t="s">
        <v>8</v>
      </c>
      <c r="D22" s="31">
        <f t="shared" si="2"/>
        <v>0.85092770313499677</v>
      </c>
      <c r="E22" s="32">
        <f t="shared" si="2"/>
        <v>7.7842809364548486</v>
      </c>
      <c r="F22" s="52">
        <f t="shared" si="2"/>
        <v>3.2125603864734301E-2</v>
      </c>
      <c r="G22" s="301"/>
      <c r="H22" s="300"/>
      <c r="J22" s="24" t="s">
        <v>8</v>
      </c>
      <c r="K22" s="31">
        <f t="shared" si="3"/>
        <v>1.9247467438494934</v>
      </c>
      <c r="L22" s="32">
        <f t="shared" si="3"/>
        <v>13.937125748502993</v>
      </c>
      <c r="M22" s="52">
        <f t="shared" si="3"/>
        <v>5.7362908194701169E-2</v>
      </c>
      <c r="N22" s="301"/>
      <c r="O22" s="300"/>
    </row>
    <row r="23" spans="1:16" ht="13.5" thickBot="1">
      <c r="C23" s="24" t="s">
        <v>6</v>
      </c>
      <c r="D23" s="34">
        <f t="shared" si="2"/>
        <v>2.3444976076555024</v>
      </c>
      <c r="E23" s="35">
        <f t="shared" si="2"/>
        <v>19.476987447698743</v>
      </c>
      <c r="F23" s="53">
        <f t="shared" si="2"/>
        <v>0.36509803921568623</v>
      </c>
      <c r="G23" s="301"/>
      <c r="H23" s="300"/>
      <c r="J23" s="24" t="s">
        <v>6</v>
      </c>
      <c r="K23" s="34">
        <f t="shared" si="3"/>
        <v>11.579601990049751</v>
      </c>
      <c r="L23" s="35">
        <f t="shared" si="3"/>
        <v>37.091633466135463</v>
      </c>
      <c r="M23" s="53">
        <f t="shared" si="3"/>
        <v>0.45862068965517239</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204.68</v>
      </c>
      <c r="E27" s="209">
        <v>21.31</v>
      </c>
      <c r="F27" s="210">
        <v>8390</v>
      </c>
      <c r="G27" s="305" t="str">
        <f>"EOS pounds removed per '"&amp;E3&amp;"' of practice per year"</f>
        <v>EOS pounds removed per 'acre' of practice per year</v>
      </c>
      <c r="H27" s="300"/>
      <c r="J27" s="24" t="s">
        <v>9</v>
      </c>
      <c r="K27" s="56">
        <v>131.54</v>
      </c>
      <c r="L27" s="209">
        <v>10</v>
      </c>
      <c r="M27" s="210">
        <v>5501</v>
      </c>
      <c r="N27" s="299" t="str">
        <f>"delivered pounds removed per '"&amp;E3&amp;"' of practice per year"</f>
        <v>delivered pounds removed per 'acre' of practice per year</v>
      </c>
      <c r="O27" s="300"/>
      <c r="P27" s="204"/>
    </row>
    <row r="28" spans="1:16">
      <c r="C28" s="24" t="s">
        <v>7</v>
      </c>
      <c r="D28" s="211">
        <v>123.76</v>
      </c>
      <c r="E28" s="212">
        <v>12.39</v>
      </c>
      <c r="F28" s="213">
        <v>4036</v>
      </c>
      <c r="G28" s="301"/>
      <c r="H28" s="300"/>
      <c r="J28" s="24" t="s">
        <v>7</v>
      </c>
      <c r="K28" s="57">
        <v>60.42</v>
      </c>
      <c r="L28" s="212">
        <v>6.38</v>
      </c>
      <c r="M28" s="213">
        <v>2536</v>
      </c>
      <c r="N28" s="301"/>
      <c r="O28" s="300"/>
      <c r="P28" s="204"/>
    </row>
    <row r="29" spans="1:16">
      <c r="C29" s="24" t="s">
        <v>8</v>
      </c>
      <c r="D29" s="211">
        <v>109.41</v>
      </c>
      <c r="E29" s="212">
        <v>11.96</v>
      </c>
      <c r="F29" s="213">
        <v>2898</v>
      </c>
      <c r="G29" s="301"/>
      <c r="H29" s="300"/>
      <c r="J29" s="24" t="s">
        <v>8</v>
      </c>
      <c r="K29" s="57">
        <v>48.37</v>
      </c>
      <c r="L29" s="212">
        <v>6.68</v>
      </c>
      <c r="M29" s="213">
        <v>1623</v>
      </c>
      <c r="N29" s="301"/>
      <c r="O29" s="300"/>
      <c r="P29" s="204"/>
    </row>
    <row r="30" spans="1:16" ht="13.5" thickBot="1">
      <c r="C30" s="24" t="s">
        <v>6</v>
      </c>
      <c r="D30" s="214">
        <v>39.71</v>
      </c>
      <c r="E30" s="215">
        <v>4.78</v>
      </c>
      <c r="F30" s="216">
        <v>255</v>
      </c>
      <c r="G30" s="301"/>
      <c r="H30" s="300"/>
      <c r="J30" s="24" t="s">
        <v>6</v>
      </c>
      <c r="K30" s="58">
        <v>8.0399999999999991</v>
      </c>
      <c r="L30" s="215">
        <v>2.5099999999999998</v>
      </c>
      <c r="M30" s="216">
        <v>203</v>
      </c>
      <c r="N30" s="301"/>
      <c r="O30" s="300"/>
      <c r="P30" s="204"/>
    </row>
    <row r="31" spans="1:16" ht="13.5" thickBot="1"/>
    <row r="32" spans="1:16" s="42" customFormat="1">
      <c r="A32" s="86" t="s">
        <v>1</v>
      </c>
    </row>
    <row r="33" spans="1:12" ht="5.25" customHeight="1" thickBot="1"/>
    <row r="34" spans="1:12" ht="13.5" thickBot="1">
      <c r="C34" s="24" t="s">
        <v>11</v>
      </c>
      <c r="D34" s="46">
        <f>-PMT(D39,D38,D36)+D37</f>
        <v>93.1</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931</v>
      </c>
      <c r="E36" s="18" t="str">
        <f>"$ per '"&amp;E3&amp;"' of practice"</f>
        <v>$ per 'acre' of practice</v>
      </c>
      <c r="I36" s="78" t="s">
        <v>162</v>
      </c>
      <c r="J36" s="236">
        <v>36038</v>
      </c>
      <c r="K36" s="235">
        <v>931</v>
      </c>
      <c r="L36" s="237">
        <f>AVERAGE(J36:K36)</f>
        <v>18484.5</v>
      </c>
    </row>
    <row r="37" spans="1:12">
      <c r="C37" s="24" t="s">
        <v>12</v>
      </c>
      <c r="D37" s="39">
        <f>L37</f>
        <v>0</v>
      </c>
      <c r="E37" s="18" t="str">
        <f>"$ per '"&amp;E3&amp;"' of practice per year"</f>
        <v>$ per 'acre' of practice per year</v>
      </c>
      <c r="I37" s="78" t="s">
        <v>161</v>
      </c>
      <c r="J37" s="236">
        <v>0</v>
      </c>
      <c r="K37" s="235"/>
      <c r="L37" s="237">
        <f>AVERAGE(J37:K37)</f>
        <v>0</v>
      </c>
    </row>
    <row r="38" spans="1:12">
      <c r="C38" s="24" t="s">
        <v>13</v>
      </c>
      <c r="D38" s="249">
        <f>K38</f>
        <v>10</v>
      </c>
      <c r="E38" s="18" t="s">
        <v>15</v>
      </c>
      <c r="I38" s="78" t="s">
        <v>163</v>
      </c>
      <c r="J38" s="245">
        <v>15</v>
      </c>
      <c r="K38" s="244">
        <v>10</v>
      </c>
      <c r="L38" s="246">
        <f>J38</f>
        <v>15</v>
      </c>
    </row>
    <row r="39" spans="1:12" ht="13.5" thickBot="1">
      <c r="C39" s="24" t="s">
        <v>14</v>
      </c>
      <c r="D39" s="41">
        <f>Summary!C35</f>
        <v>0</v>
      </c>
      <c r="E39" s="18" t="s">
        <v>16</v>
      </c>
      <c r="I39" s="80" t="s">
        <v>166</v>
      </c>
      <c r="J39" s="239">
        <f>J37+(J36/J38)</f>
        <v>2402.5333333333333</v>
      </c>
      <c r="K39" s="238">
        <f>K37+(K36/K38)</f>
        <v>93.1</v>
      </c>
      <c r="L39" s="240">
        <f>AVERAGE(J39:K39)</f>
        <v>1247.8166666666666</v>
      </c>
    </row>
    <row r="40" spans="1:12">
      <c r="F40" s="234"/>
    </row>
    <row r="41" spans="1:12">
      <c r="I41" s="304" t="s">
        <v>221</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35.xml><?xml version="1.0" encoding="utf-8"?>
<worksheet xmlns="http://schemas.openxmlformats.org/spreadsheetml/2006/main" xmlns:r="http://schemas.openxmlformats.org/officeDocument/2006/relationships">
  <sheetPr codeName="Sheet50"/>
  <dimension ref="A1:S48"/>
  <sheetViews>
    <sheetView workbookViewId="0">
      <pane ySplit="6" topLeftCell="A10"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Poultry Litter Incorporation</v>
      </c>
      <c r="I1" s="22"/>
      <c r="J1" s="37" t="s">
        <v>135</v>
      </c>
      <c r="K1" s="50">
        <v>26</v>
      </c>
      <c r="L1" s="22"/>
      <c r="M1" s="22"/>
      <c r="N1" s="22"/>
      <c r="O1" s="22"/>
      <c r="P1" s="22"/>
      <c r="Q1" s="22"/>
      <c r="R1" s="22"/>
    </row>
    <row r="2" spans="1:19" s="20" customFormat="1" ht="12.75" customHeight="1">
      <c r="D2" s="48" t="s">
        <v>3</v>
      </c>
      <c r="E2" s="19" t="str">
        <f>VLOOKUP($K$1,'BMP info'!A:G,4,FALSE)</f>
        <v>PoultryInjection</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efficiency applied</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214.26224412696891</v>
      </c>
      <c r="E13" s="29" t="str">
        <f t="shared" si="0"/>
        <v>-</v>
      </c>
      <c r="F13" s="51" t="str">
        <f t="shared" si="0"/>
        <v>-</v>
      </c>
      <c r="G13" s="305" t="s">
        <v>254</v>
      </c>
      <c r="H13" s="300"/>
      <c r="J13" s="24" t="s">
        <v>9</v>
      </c>
      <c r="K13" s="28">
        <f t="shared" ref="K13:M16" si="1">IF(K27*$D$34=0,"-",1000*K27/$D$34)</f>
        <v>189.76986572649898</v>
      </c>
      <c r="L13" s="29" t="str">
        <f t="shared" si="1"/>
        <v>-</v>
      </c>
      <c r="M13" s="51" t="str">
        <f t="shared" si="1"/>
        <v>-</v>
      </c>
      <c r="N13" s="305" t="s">
        <v>133</v>
      </c>
      <c r="O13" s="300"/>
    </row>
    <row r="14" spans="1:19">
      <c r="C14" s="24" t="s">
        <v>7</v>
      </c>
      <c r="D14" s="31">
        <f t="shared" si="0"/>
        <v>135.00792358044779</v>
      </c>
      <c r="E14" s="32" t="str">
        <f t="shared" si="0"/>
        <v>-</v>
      </c>
      <c r="F14" s="52" t="str">
        <f t="shared" si="0"/>
        <v>-</v>
      </c>
      <c r="G14" s="301"/>
      <c r="H14" s="300"/>
      <c r="J14" s="24" t="s">
        <v>7</v>
      </c>
      <c r="K14" s="31">
        <f t="shared" si="1"/>
        <v>122.83612064249625</v>
      </c>
      <c r="L14" s="32" t="str">
        <f t="shared" si="1"/>
        <v>-</v>
      </c>
      <c r="M14" s="52" t="str">
        <f t="shared" si="1"/>
        <v>-</v>
      </c>
      <c r="N14" s="301"/>
      <c r="O14" s="300"/>
    </row>
    <row r="15" spans="1:19">
      <c r="C15" s="24" t="s">
        <v>8</v>
      </c>
      <c r="D15" s="31">
        <f t="shared" si="0"/>
        <v>138.76716503137149</v>
      </c>
      <c r="E15" s="32" t="str">
        <f t="shared" si="0"/>
        <v>-</v>
      </c>
      <c r="F15" s="52" t="str">
        <f t="shared" si="0"/>
        <v>-</v>
      </c>
      <c r="G15" s="301"/>
      <c r="H15" s="300"/>
      <c r="J15" s="24" t="s">
        <v>8</v>
      </c>
      <c r="K15" s="31">
        <f t="shared" si="1"/>
        <v>112.80564859355418</v>
      </c>
      <c r="L15" s="32" t="str">
        <f t="shared" si="1"/>
        <v>-</v>
      </c>
      <c r="M15" s="52" t="str">
        <f t="shared" si="1"/>
        <v>-</v>
      </c>
      <c r="N15" s="301"/>
      <c r="O15" s="300"/>
    </row>
    <row r="16" spans="1:19" ht="13.5" thickBot="1">
      <c r="C16" s="24" t="s">
        <v>6</v>
      </c>
      <c r="D16" s="34">
        <f t="shared" si="0"/>
        <v>76.662756662578147</v>
      </c>
      <c r="E16" s="35" t="str">
        <f t="shared" si="0"/>
        <v>-</v>
      </c>
      <c r="F16" s="53" t="str">
        <f t="shared" si="0"/>
        <v>-</v>
      </c>
      <c r="G16" s="301"/>
      <c r="H16" s="300"/>
      <c r="J16" s="24" t="s">
        <v>6</v>
      </c>
      <c r="K16" s="34">
        <f t="shared" si="1"/>
        <v>67.926859477578375</v>
      </c>
      <c r="L16" s="35" t="str">
        <f t="shared" si="1"/>
        <v>-</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4.6671778505568788</v>
      </c>
      <c r="E20" s="29" t="str">
        <f t="shared" si="2"/>
        <v>-</v>
      </c>
      <c r="F20" s="51" t="str">
        <f t="shared" si="2"/>
        <v>-</v>
      </c>
      <c r="G20" s="305" t="s">
        <v>253</v>
      </c>
      <c r="H20" s="300"/>
      <c r="J20" s="24" t="s">
        <v>9</v>
      </c>
      <c r="K20" s="28">
        <f t="shared" ref="K20:M23" si="3">IF(K27=0,"-",$D$34/K27)</f>
        <v>5.2695405362262564</v>
      </c>
      <c r="L20" s="29" t="str">
        <f t="shared" si="3"/>
        <v>-</v>
      </c>
      <c r="M20" s="51" t="str">
        <f t="shared" si="3"/>
        <v>-</v>
      </c>
      <c r="N20" s="305" t="s">
        <v>132</v>
      </c>
      <c r="O20" s="300"/>
    </row>
    <row r="21" spans="1:16">
      <c r="C21" s="24" t="s">
        <v>7</v>
      </c>
      <c r="D21" s="31">
        <f t="shared" si="2"/>
        <v>7.4069726685643404</v>
      </c>
      <c r="E21" s="32" t="str">
        <f t="shared" si="2"/>
        <v>-</v>
      </c>
      <c r="F21" s="52" t="str">
        <f t="shared" si="2"/>
        <v>-</v>
      </c>
      <c r="G21" s="301"/>
      <c r="H21" s="300"/>
      <c r="J21" s="24" t="s">
        <v>7</v>
      </c>
      <c r="K21" s="31">
        <f t="shared" si="3"/>
        <v>8.1409278864350672</v>
      </c>
      <c r="L21" s="32" t="str">
        <f t="shared" si="3"/>
        <v>-</v>
      </c>
      <c r="M21" s="52" t="str">
        <f t="shared" si="3"/>
        <v>-</v>
      </c>
      <c r="N21" s="301"/>
      <c r="O21" s="300"/>
    </row>
    <row r="22" spans="1:16">
      <c r="C22" s="24" t="s">
        <v>8</v>
      </c>
      <c r="D22" s="31">
        <f t="shared" si="2"/>
        <v>7.2063156999274804</v>
      </c>
      <c r="E22" s="32" t="str">
        <f t="shared" si="2"/>
        <v>-</v>
      </c>
      <c r="F22" s="52" t="str">
        <f t="shared" si="2"/>
        <v>-</v>
      </c>
      <c r="G22" s="301"/>
      <c r="H22" s="300"/>
      <c r="J22" s="24" t="s">
        <v>8</v>
      </c>
      <c r="K22" s="31">
        <f t="shared" si="3"/>
        <v>8.8648043113786148</v>
      </c>
      <c r="L22" s="32" t="str">
        <f t="shared" si="3"/>
        <v>-</v>
      </c>
      <c r="M22" s="52" t="str">
        <f t="shared" si="3"/>
        <v>-</v>
      </c>
      <c r="N22" s="301"/>
      <c r="O22" s="300"/>
    </row>
    <row r="23" spans="1:16" ht="13.5" thickBot="1">
      <c r="C23" s="24" t="s">
        <v>6</v>
      </c>
      <c r="D23" s="34">
        <f t="shared" si="2"/>
        <v>13.044143512884347</v>
      </c>
      <c r="E23" s="35" t="str">
        <f t="shared" si="2"/>
        <v>-</v>
      </c>
      <c r="F23" s="53" t="str">
        <f t="shared" si="2"/>
        <v>-</v>
      </c>
      <c r="G23" s="301"/>
      <c r="H23" s="300"/>
      <c r="J23" s="24" t="s">
        <v>6</v>
      </c>
      <c r="K23" s="34">
        <f t="shared" si="3"/>
        <v>14.721716971621289</v>
      </c>
      <c r="L23" s="35" t="str">
        <f t="shared" si="3"/>
        <v>-</v>
      </c>
      <c r="M23" s="53" t="str">
        <f t="shared" si="3"/>
        <v>-</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4.9987381554821839</v>
      </c>
      <c r="E27" s="209">
        <v>0</v>
      </c>
      <c r="F27" s="210">
        <v>0</v>
      </c>
      <c r="G27" s="305" t="str">
        <f>"EOS pounds removed per '"&amp;E3&amp;"' of practice per year"</f>
        <v>EOS pounds removed per 'acre' of practice per year</v>
      </c>
      <c r="H27" s="300"/>
      <c r="J27" s="24" t="s">
        <v>9</v>
      </c>
      <c r="K27" s="56">
        <v>4.4273309673992207</v>
      </c>
      <c r="L27" s="209">
        <v>0</v>
      </c>
      <c r="M27" s="210">
        <v>0</v>
      </c>
      <c r="N27" s="299" t="str">
        <f>"delivered pounds removed per '"&amp;E3&amp;"' of practice per year"</f>
        <v>delivered pounds removed per 'acre' of practice per year</v>
      </c>
      <c r="O27" s="300"/>
      <c r="P27" s="204"/>
    </row>
    <row r="28" spans="1:16">
      <c r="C28" s="24" t="s">
        <v>7</v>
      </c>
      <c r="D28" s="211">
        <v>3.1497348571318469</v>
      </c>
      <c r="E28" s="212">
        <v>0</v>
      </c>
      <c r="F28" s="213">
        <v>0</v>
      </c>
      <c r="G28" s="301"/>
      <c r="H28" s="300"/>
      <c r="J28" s="24" t="s">
        <v>7</v>
      </c>
      <c r="K28" s="57">
        <v>2.8657666945894373</v>
      </c>
      <c r="L28" s="212">
        <v>0</v>
      </c>
      <c r="M28" s="213">
        <v>0</v>
      </c>
      <c r="N28" s="301"/>
      <c r="O28" s="300"/>
      <c r="P28" s="204"/>
    </row>
    <row r="29" spans="1:16">
      <c r="C29" s="24" t="s">
        <v>8</v>
      </c>
      <c r="D29" s="211">
        <v>3.2374379601818966</v>
      </c>
      <c r="E29" s="212">
        <v>0</v>
      </c>
      <c r="F29" s="213">
        <v>0</v>
      </c>
      <c r="G29" s="301"/>
      <c r="H29" s="300"/>
      <c r="J29" s="24" t="s">
        <v>8</v>
      </c>
      <c r="K29" s="57">
        <v>2.6317557816876187</v>
      </c>
      <c r="L29" s="212">
        <v>0</v>
      </c>
      <c r="M29" s="213">
        <v>0</v>
      </c>
      <c r="N29" s="301"/>
      <c r="O29" s="300"/>
      <c r="P29" s="204"/>
    </row>
    <row r="30" spans="1:16" ht="13.5" thickBot="1">
      <c r="C30" s="24" t="s">
        <v>6</v>
      </c>
      <c r="D30" s="214">
        <v>1.7885421129379482</v>
      </c>
      <c r="E30" s="215">
        <v>0</v>
      </c>
      <c r="F30" s="216">
        <v>0</v>
      </c>
      <c r="G30" s="301"/>
      <c r="H30" s="300"/>
      <c r="J30" s="24" t="s">
        <v>6</v>
      </c>
      <c r="K30" s="58">
        <v>1.5847336316119034</v>
      </c>
      <c r="L30" s="215">
        <v>0</v>
      </c>
      <c r="M30" s="216">
        <v>0</v>
      </c>
      <c r="N30" s="301"/>
      <c r="O30" s="300"/>
      <c r="P30" s="204"/>
    </row>
    <row r="31" spans="1:16" ht="13.5" thickBot="1"/>
    <row r="32" spans="1:16" s="42" customFormat="1">
      <c r="A32" s="86" t="s">
        <v>1</v>
      </c>
    </row>
    <row r="33" spans="1:12" ht="5.25" customHeight="1" thickBot="1"/>
    <row r="34" spans="1:12" ht="13.5" thickBot="1">
      <c r="C34" s="24" t="s">
        <v>11</v>
      </c>
      <c r="D34" s="46">
        <f>-PMT(D39,D38,D36)+D37</f>
        <v>23.33</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0</v>
      </c>
      <c r="E36" s="18" t="str">
        <f>"$ per '"&amp;E3&amp;"' of practice"</f>
        <v>$ per 'acre' of practice</v>
      </c>
      <c r="I36" s="78" t="s">
        <v>162</v>
      </c>
      <c r="J36" s="236">
        <v>0</v>
      </c>
      <c r="K36" s="235">
        <v>0</v>
      </c>
      <c r="L36" s="237">
        <f>(J36/J38+K36/K38)/2</f>
        <v>0</v>
      </c>
    </row>
    <row r="37" spans="1:12">
      <c r="C37" s="24" t="s">
        <v>12</v>
      </c>
      <c r="D37" s="39">
        <f>K37</f>
        <v>23.33</v>
      </c>
      <c r="E37" s="18" t="str">
        <f>"$ per '"&amp;E3&amp;"' of practice per year"</f>
        <v>$ per 'acre' of practice per year</v>
      </c>
      <c r="I37" s="78" t="s">
        <v>161</v>
      </c>
      <c r="J37" s="236">
        <v>60</v>
      </c>
      <c r="K37" s="235">
        <v>23.33</v>
      </c>
      <c r="L37" s="237">
        <f>AVERAGE(J37:K37)</f>
        <v>41.664999999999999</v>
      </c>
    </row>
    <row r="38" spans="1:12">
      <c r="C38" s="24" t="s">
        <v>13</v>
      </c>
      <c r="D38" s="249">
        <f>K38</f>
        <v>1</v>
      </c>
      <c r="E38" s="18" t="s">
        <v>15</v>
      </c>
      <c r="I38" s="78" t="s">
        <v>163</v>
      </c>
      <c r="J38" s="245">
        <v>1</v>
      </c>
      <c r="K38" s="244">
        <v>1</v>
      </c>
      <c r="L38" s="246">
        <v>1</v>
      </c>
    </row>
    <row r="39" spans="1:12" ht="13.5" thickBot="1">
      <c r="C39" s="24" t="s">
        <v>14</v>
      </c>
      <c r="D39" s="41">
        <f>Summary!C35</f>
        <v>0</v>
      </c>
      <c r="E39" s="18" t="s">
        <v>16</v>
      </c>
      <c r="I39" s="80" t="s">
        <v>166</v>
      </c>
      <c r="J39" s="239">
        <f>J37+(J36/J38)</f>
        <v>60</v>
      </c>
      <c r="K39" s="238">
        <f>K37+(K36/K38)</f>
        <v>23.33</v>
      </c>
      <c r="L39" s="240">
        <f>L37+(L36/L38)</f>
        <v>41.664999999999999</v>
      </c>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36.xml><?xml version="1.0" encoding="utf-8"?>
<worksheet xmlns="http://schemas.openxmlformats.org/spreadsheetml/2006/main" xmlns:r="http://schemas.openxmlformats.org/officeDocument/2006/relationships">
  <sheetPr codeName="Sheet65"/>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 xml:space="preserve">Poultry Phytase </v>
      </c>
      <c r="I1" s="22"/>
      <c r="J1" s="37" t="s">
        <v>135</v>
      </c>
      <c r="K1" s="50">
        <v>27</v>
      </c>
      <c r="L1" s="22"/>
      <c r="M1" s="22"/>
      <c r="N1" s="22"/>
      <c r="O1" s="22"/>
      <c r="P1" s="22"/>
      <c r="Q1" s="22"/>
      <c r="R1" s="22"/>
    </row>
    <row r="2" spans="1:19" s="20" customFormat="1" ht="12.75" customHeight="1">
      <c r="D2" s="48" t="s">
        <v>3</v>
      </c>
      <c r="E2" s="19" t="str">
        <f>VLOOKUP($K$1,'BMP info'!A:G,4,FALSE)</f>
        <v xml:space="preserve">PoultryPhytase </v>
      </c>
      <c r="I2" s="23"/>
      <c r="L2" s="23"/>
      <c r="M2" s="23"/>
      <c r="N2" s="23"/>
      <c r="O2" s="23"/>
      <c r="P2" s="23"/>
      <c r="Q2" s="23"/>
      <c r="R2" s="23"/>
      <c r="S2" s="23"/>
    </row>
    <row r="3" spans="1:19" s="20" customFormat="1" ht="12.75" customHeight="1">
      <c r="D3" s="48" t="s">
        <v>79</v>
      </c>
      <c r="E3" s="19" t="str">
        <f>VLOOKUP($K$1,'BMP info'!A:G,5,FALSE)</f>
        <v>animal unit</v>
      </c>
      <c r="I3" s="23"/>
      <c r="K3" s="49"/>
      <c r="L3" s="23"/>
      <c r="M3" s="23"/>
      <c r="N3" s="23"/>
      <c r="O3" s="23"/>
      <c r="P3" s="23"/>
      <c r="Q3" s="23"/>
      <c r="R3" s="23"/>
      <c r="S3" s="23"/>
    </row>
    <row r="4" spans="1:19" s="20" customFormat="1" ht="12.75" customHeight="1">
      <c r="D4" s="48" t="s">
        <v>170</v>
      </c>
      <c r="E4" s="19" t="str">
        <f>VLOOKUP($K$1,'BMP info'!A:G,6,FALSE)</f>
        <v>animal</v>
      </c>
      <c r="I4" s="23"/>
      <c r="K4" s="49"/>
      <c r="L4" s="23"/>
      <c r="M4" s="23"/>
      <c r="N4" s="23"/>
      <c r="O4" s="23"/>
      <c r="P4" s="23"/>
      <c r="Q4" s="23"/>
      <c r="R4" s="23"/>
      <c r="S4" s="23"/>
    </row>
    <row r="5" spans="1:19" s="20" customFormat="1">
      <c r="D5" s="48" t="s">
        <v>4</v>
      </c>
      <c r="E5" s="19" t="str">
        <f>VLOOKUP($K$1,'BMP info'!A:G,7,FALSE)</f>
        <v>P5.3.2</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t="str">
        <f t="shared" ref="D13:F16" si="0">IF(D27*$D$34=0,"-",1000*D27/$D$34)</f>
        <v>-</v>
      </c>
      <c r="E13" s="29" t="str">
        <f t="shared" si="0"/>
        <v>-</v>
      </c>
      <c r="F13" s="51" t="str">
        <f t="shared" si="0"/>
        <v>-</v>
      </c>
      <c r="G13" s="305" t="s">
        <v>254</v>
      </c>
      <c r="H13" s="300"/>
      <c r="J13" s="24" t="s">
        <v>9</v>
      </c>
      <c r="K13" s="28" t="str">
        <f t="shared" ref="K13:M16" si="1">IF(K27*$D$34=0,"-",1000*K27/$D$34)</f>
        <v>-</v>
      </c>
      <c r="L13" s="29" t="str">
        <f t="shared" si="1"/>
        <v>-</v>
      </c>
      <c r="M13" s="51" t="str">
        <f t="shared" si="1"/>
        <v>-</v>
      </c>
      <c r="N13" s="305" t="s">
        <v>133</v>
      </c>
      <c r="O13" s="300"/>
    </row>
    <row r="14" spans="1:19">
      <c r="C14" s="24" t="s">
        <v>7</v>
      </c>
      <c r="D14" s="31" t="str">
        <f t="shared" si="0"/>
        <v>-</v>
      </c>
      <c r="E14" s="32" t="str">
        <f t="shared" si="0"/>
        <v>-</v>
      </c>
      <c r="F14" s="52" t="str">
        <f t="shared" si="0"/>
        <v>-</v>
      </c>
      <c r="G14" s="301"/>
      <c r="H14" s="300"/>
      <c r="J14" s="24" t="s">
        <v>7</v>
      </c>
      <c r="K14" s="31" t="str">
        <f t="shared" si="1"/>
        <v>-</v>
      </c>
      <c r="L14" s="32" t="str">
        <f t="shared" si="1"/>
        <v>-</v>
      </c>
      <c r="M14" s="52" t="str">
        <f t="shared" si="1"/>
        <v>-</v>
      </c>
      <c r="N14" s="301"/>
      <c r="O14" s="300"/>
    </row>
    <row r="15" spans="1:19">
      <c r="C15" s="24" t="s">
        <v>8</v>
      </c>
      <c r="D15" s="31" t="str">
        <f t="shared" si="0"/>
        <v>-</v>
      </c>
      <c r="E15" s="32" t="str">
        <f t="shared" si="0"/>
        <v>-</v>
      </c>
      <c r="F15" s="52" t="str">
        <f t="shared" si="0"/>
        <v>-</v>
      </c>
      <c r="G15" s="301"/>
      <c r="H15" s="300"/>
      <c r="J15" s="24" t="s">
        <v>8</v>
      </c>
      <c r="K15" s="31" t="str">
        <f t="shared" si="1"/>
        <v>-</v>
      </c>
      <c r="L15" s="32" t="str">
        <f t="shared" si="1"/>
        <v>-</v>
      </c>
      <c r="M15" s="52" t="str">
        <f t="shared" si="1"/>
        <v>-</v>
      </c>
      <c r="N15" s="301"/>
      <c r="O15" s="300"/>
    </row>
    <row r="16" spans="1:19" ht="13.5" thickBot="1">
      <c r="C16" s="24" t="s">
        <v>6</v>
      </c>
      <c r="D16" s="34" t="str">
        <f t="shared" si="0"/>
        <v>-</v>
      </c>
      <c r="E16" s="35" t="str">
        <f t="shared" si="0"/>
        <v>-</v>
      </c>
      <c r="F16" s="53" t="str">
        <f t="shared" si="0"/>
        <v>-</v>
      </c>
      <c r="G16" s="301"/>
      <c r="H16" s="300"/>
      <c r="J16" s="24" t="s">
        <v>6</v>
      </c>
      <c r="K16" s="34" t="str">
        <f t="shared" si="1"/>
        <v>-</v>
      </c>
      <c r="L16" s="35" t="str">
        <f t="shared" si="1"/>
        <v>-</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t="str">
        <f t="shared" ref="D20:F23" si="2">IF(D27=0,"-",$D$34/D27)</f>
        <v>-</v>
      </c>
      <c r="E20" s="29" t="str">
        <f t="shared" si="2"/>
        <v>-</v>
      </c>
      <c r="F20" s="51" t="str">
        <f t="shared" si="2"/>
        <v>-</v>
      </c>
      <c r="G20" s="305" t="s">
        <v>253</v>
      </c>
      <c r="H20" s="300"/>
      <c r="J20" s="24" t="s">
        <v>9</v>
      </c>
      <c r="K20" s="28" t="str">
        <f t="shared" ref="K20:M23" si="3">IF(K27=0,"-",$D$34/K27)</f>
        <v>-</v>
      </c>
      <c r="L20" s="29" t="str">
        <f t="shared" si="3"/>
        <v>-</v>
      </c>
      <c r="M20" s="51" t="str">
        <f t="shared" si="3"/>
        <v>-</v>
      </c>
      <c r="N20" s="305" t="s">
        <v>132</v>
      </c>
      <c r="O20" s="300"/>
    </row>
    <row r="21" spans="1:16">
      <c r="C21" s="24" t="s">
        <v>7</v>
      </c>
      <c r="D21" s="31" t="str">
        <f t="shared" si="2"/>
        <v>-</v>
      </c>
      <c r="E21" s="32" t="str">
        <f t="shared" si="2"/>
        <v>-</v>
      </c>
      <c r="F21" s="52" t="str">
        <f t="shared" si="2"/>
        <v>-</v>
      </c>
      <c r="G21" s="301"/>
      <c r="H21" s="300"/>
      <c r="J21" s="24" t="s">
        <v>7</v>
      </c>
      <c r="K21" s="31" t="str">
        <f t="shared" si="3"/>
        <v>-</v>
      </c>
      <c r="L21" s="32" t="str">
        <f t="shared" si="3"/>
        <v>-</v>
      </c>
      <c r="M21" s="52" t="str">
        <f t="shared" si="3"/>
        <v>-</v>
      </c>
      <c r="N21" s="301"/>
      <c r="O21" s="300"/>
    </row>
    <row r="22" spans="1:16">
      <c r="C22" s="24" t="s">
        <v>8</v>
      </c>
      <c r="D22" s="31" t="str">
        <f t="shared" si="2"/>
        <v>-</v>
      </c>
      <c r="E22" s="32" t="str">
        <f t="shared" si="2"/>
        <v>-</v>
      </c>
      <c r="F22" s="52" t="str">
        <f t="shared" si="2"/>
        <v>-</v>
      </c>
      <c r="G22" s="301"/>
      <c r="H22" s="300"/>
      <c r="J22" s="24" t="s">
        <v>8</v>
      </c>
      <c r="K22" s="31" t="str">
        <f t="shared" si="3"/>
        <v>-</v>
      </c>
      <c r="L22" s="32" t="str">
        <f t="shared" si="3"/>
        <v>-</v>
      </c>
      <c r="M22" s="52" t="str">
        <f t="shared" si="3"/>
        <v>-</v>
      </c>
      <c r="N22" s="301"/>
      <c r="O22" s="300"/>
    </row>
    <row r="23" spans="1:16" ht="13.5" thickBot="1">
      <c r="C23" s="24" t="s">
        <v>6</v>
      </c>
      <c r="D23" s="34" t="str">
        <f t="shared" si="2"/>
        <v>-</v>
      </c>
      <c r="E23" s="35" t="str">
        <f t="shared" si="2"/>
        <v>-</v>
      </c>
      <c r="F23" s="53" t="str">
        <f t="shared" si="2"/>
        <v>-</v>
      </c>
      <c r="G23" s="301"/>
      <c r="H23" s="300"/>
      <c r="J23" s="24" t="s">
        <v>6</v>
      </c>
      <c r="K23" s="34" t="str">
        <f t="shared" si="3"/>
        <v>-</v>
      </c>
      <c r="L23" s="35" t="str">
        <f t="shared" si="3"/>
        <v>-</v>
      </c>
      <c r="M23" s="53" t="str">
        <f t="shared" si="3"/>
        <v>-</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c r="E27" s="209"/>
      <c r="F27" s="210"/>
      <c r="G27" s="305" t="str">
        <f>"EOS pounds removed per '"&amp;E3&amp;"' of practice per year"</f>
        <v>EOS pounds removed per 'animal unit' of practice per year</v>
      </c>
      <c r="H27" s="300"/>
      <c r="J27" s="24" t="s">
        <v>9</v>
      </c>
      <c r="K27" s="56"/>
      <c r="L27" s="209"/>
      <c r="M27" s="210"/>
      <c r="N27" s="299" t="str">
        <f>"delivered pounds removed per '"&amp;E3&amp;"' of practice per year"</f>
        <v>delivered pounds removed per 'animal unit' of practice per year</v>
      </c>
      <c r="O27" s="300"/>
      <c r="P27" s="204"/>
    </row>
    <row r="28" spans="1:16">
      <c r="C28" s="24" t="s">
        <v>7</v>
      </c>
      <c r="D28" s="211"/>
      <c r="E28" s="212"/>
      <c r="F28" s="213"/>
      <c r="G28" s="301"/>
      <c r="H28" s="300"/>
      <c r="J28" s="24" t="s">
        <v>7</v>
      </c>
      <c r="K28" s="57"/>
      <c r="L28" s="212"/>
      <c r="M28" s="213"/>
      <c r="N28" s="301"/>
      <c r="O28" s="300"/>
      <c r="P28" s="204"/>
    </row>
    <row r="29" spans="1:16">
      <c r="C29" s="24" t="s">
        <v>8</v>
      </c>
      <c r="D29" s="211"/>
      <c r="E29" s="212"/>
      <c r="F29" s="213"/>
      <c r="G29" s="301"/>
      <c r="H29" s="300"/>
      <c r="J29" s="24" t="s">
        <v>8</v>
      </c>
      <c r="K29" s="57"/>
      <c r="L29" s="212"/>
      <c r="M29" s="213"/>
      <c r="N29" s="301"/>
      <c r="O29" s="300"/>
      <c r="P29" s="204"/>
    </row>
    <row r="30" spans="1:16" ht="13.5" thickBot="1">
      <c r="C30" s="24" t="s">
        <v>6</v>
      </c>
      <c r="D30" s="214"/>
      <c r="E30" s="215"/>
      <c r="F30" s="216"/>
      <c r="G30" s="301"/>
      <c r="H30" s="300"/>
      <c r="J30" s="24" t="s">
        <v>6</v>
      </c>
      <c r="K30" s="58"/>
      <c r="L30" s="215"/>
      <c r="M30" s="216"/>
      <c r="N30" s="301"/>
      <c r="O30" s="300"/>
      <c r="P30" s="204"/>
    </row>
    <row r="31" spans="1:16" ht="13.5" thickBot="1"/>
    <row r="32" spans="1:16" s="42" customFormat="1">
      <c r="A32" s="86" t="s">
        <v>1</v>
      </c>
    </row>
    <row r="33" spans="1:12" ht="5.25" customHeight="1" thickBot="1"/>
    <row r="34" spans="1:12" ht="13.5" thickBot="1">
      <c r="C34" s="24" t="s">
        <v>11</v>
      </c>
      <c r="D34" s="46">
        <f>-PMT(D39,D38,D36)+D37</f>
        <v>0.83</v>
      </c>
      <c r="E34" s="18" t="str">
        <f>"$ per '"&amp;E3&amp;"' of practice per year"</f>
        <v>$ per 'animal unit'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0</v>
      </c>
      <c r="E36" s="18" t="str">
        <f>"$ per '"&amp;E3&amp;"' of practice"</f>
        <v>$ per 'animal unit' of practice</v>
      </c>
      <c r="I36" s="78" t="s">
        <v>162</v>
      </c>
      <c r="J36" s="236">
        <v>0</v>
      </c>
      <c r="K36" s="235">
        <v>0</v>
      </c>
      <c r="L36" s="237">
        <f>AVERAGE(J36:K36)</f>
        <v>0</v>
      </c>
    </row>
    <row r="37" spans="1:12">
      <c r="C37" s="24" t="s">
        <v>12</v>
      </c>
      <c r="D37" s="39">
        <f>K37</f>
        <v>0.83</v>
      </c>
      <c r="E37" s="18" t="str">
        <f>"$ per '"&amp;E3&amp;"' of practice per year"</f>
        <v>$ per 'animal unit' of practice per year</v>
      </c>
      <c r="I37" s="78" t="s">
        <v>161</v>
      </c>
      <c r="J37" s="236">
        <v>-3.11</v>
      </c>
      <c r="K37" s="235">
        <v>0.83</v>
      </c>
      <c r="L37" s="237">
        <f>AVERAGE(J37:K37)</f>
        <v>-1.1399999999999999</v>
      </c>
    </row>
    <row r="38" spans="1:12">
      <c r="C38" s="24" t="s">
        <v>13</v>
      </c>
      <c r="D38" s="249">
        <f>K38</f>
        <v>1</v>
      </c>
      <c r="E38" s="18" t="s">
        <v>15</v>
      </c>
      <c r="I38" s="78" t="s">
        <v>163</v>
      </c>
      <c r="J38" s="245">
        <v>1</v>
      </c>
      <c r="K38" s="244">
        <v>1</v>
      </c>
      <c r="L38" s="246"/>
    </row>
    <row r="39" spans="1:12" ht="13.5" thickBot="1">
      <c r="C39" s="24" t="s">
        <v>14</v>
      </c>
      <c r="D39" s="41">
        <f>Summary!C35</f>
        <v>0</v>
      </c>
      <c r="E39" s="18" t="s">
        <v>16</v>
      </c>
      <c r="I39" s="80" t="s">
        <v>166</v>
      </c>
      <c r="J39" s="239">
        <f>J37+(J36/J38)</f>
        <v>-3.11</v>
      </c>
      <c r="K39" s="238">
        <f>K37+(K36/K38)</f>
        <v>0.83</v>
      </c>
      <c r="L39" s="240">
        <f>AVERAGE(J39:K39)</f>
        <v>-1.1399999999999999</v>
      </c>
    </row>
    <row r="40" spans="1:12">
      <c r="F40" s="234"/>
    </row>
    <row r="41" spans="1:12">
      <c r="I41" s="304" t="s">
        <v>269</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37.xml><?xml version="1.0" encoding="utf-8"?>
<worksheet xmlns="http://schemas.openxmlformats.org/spreadsheetml/2006/main" xmlns:r="http://schemas.openxmlformats.org/officeDocument/2006/relationships">
  <sheetPr codeName="Sheet54"/>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1" width="10" style="17" bestFit="1" customWidth="1"/>
    <col min="12" max="12" width="9.28515625" style="17" bestFit="1" customWidth="1"/>
    <col min="13" max="16384" width="9.140625" style="17"/>
  </cols>
  <sheetData>
    <row r="1" spans="1:19" s="20" customFormat="1" ht="21" customHeight="1">
      <c r="A1" s="302" t="s">
        <v>136</v>
      </c>
      <c r="B1" s="303"/>
      <c r="D1" s="25" t="s">
        <v>134</v>
      </c>
      <c r="E1" s="89" t="str">
        <f>VLOOKUP($K$1,'BMP info'!A:G,3,FALSE)</f>
        <v>Prescribed Grazing</v>
      </c>
      <c r="I1" s="22"/>
      <c r="J1" s="37" t="s">
        <v>135</v>
      </c>
      <c r="K1" s="50">
        <v>28</v>
      </c>
      <c r="L1" s="22"/>
      <c r="M1" s="22"/>
      <c r="N1" s="22"/>
      <c r="O1" s="22"/>
      <c r="P1" s="22"/>
      <c r="Q1" s="22"/>
      <c r="R1" s="22"/>
    </row>
    <row r="2" spans="1:19" s="20" customFormat="1" ht="12.75" customHeight="1">
      <c r="D2" s="48" t="s">
        <v>3</v>
      </c>
      <c r="E2" s="19" t="str">
        <f>VLOOKUP($K$1,'BMP info'!A:G,4,FALSE)</f>
        <v>PrecRotGrazing</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efficiency applied</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2.6666666666666665</v>
      </c>
      <c r="E13" s="29">
        <f t="shared" si="0"/>
        <v>0.75</v>
      </c>
      <c r="F13" s="51">
        <f t="shared" si="0"/>
        <v>708.33333333333337</v>
      </c>
      <c r="G13" s="305" t="s">
        <v>254</v>
      </c>
      <c r="H13" s="300"/>
      <c r="J13" s="24" t="s">
        <v>9</v>
      </c>
      <c r="K13" s="28">
        <f t="shared" ref="K13:M16" si="1">IF(K27*$D$34=0,"-",1000*K27/$D$34)</f>
        <v>1.5166666666666666</v>
      </c>
      <c r="L13" s="29">
        <f t="shared" si="1"/>
        <v>0.35</v>
      </c>
      <c r="M13" s="51">
        <f t="shared" si="1"/>
        <v>478.33333333333331</v>
      </c>
      <c r="N13" s="305" t="s">
        <v>133</v>
      </c>
      <c r="O13" s="300"/>
    </row>
    <row r="14" spans="1:19">
      <c r="C14" s="24" t="s">
        <v>7</v>
      </c>
      <c r="D14" s="31">
        <f t="shared" si="0"/>
        <v>1.75</v>
      </c>
      <c r="E14" s="32">
        <f t="shared" si="0"/>
        <v>0.41666666666666669</v>
      </c>
      <c r="F14" s="52">
        <f t="shared" si="0"/>
        <v>241.66666666666666</v>
      </c>
      <c r="G14" s="301"/>
      <c r="H14" s="300"/>
      <c r="J14" s="24" t="s">
        <v>7</v>
      </c>
      <c r="K14" s="31">
        <f t="shared" si="1"/>
        <v>0.8833333333333333</v>
      </c>
      <c r="L14" s="32">
        <f t="shared" si="1"/>
        <v>0.21666666666666667</v>
      </c>
      <c r="M14" s="52">
        <f t="shared" si="1"/>
        <v>158.33333333333334</v>
      </c>
      <c r="N14" s="301"/>
      <c r="O14" s="300"/>
    </row>
    <row r="15" spans="1:19">
      <c r="C15" s="24" t="s">
        <v>8</v>
      </c>
      <c r="D15" s="31">
        <f t="shared" si="0"/>
        <v>1.75</v>
      </c>
      <c r="E15" s="32">
        <f t="shared" si="0"/>
        <v>0.35</v>
      </c>
      <c r="F15" s="52">
        <f t="shared" si="0"/>
        <v>130</v>
      </c>
      <c r="G15" s="301"/>
      <c r="H15" s="300"/>
      <c r="J15" s="24" t="s">
        <v>8</v>
      </c>
      <c r="K15" s="31">
        <f t="shared" si="1"/>
        <v>0.75</v>
      </c>
      <c r="L15" s="32">
        <f t="shared" si="1"/>
        <v>0.18333333333333332</v>
      </c>
      <c r="M15" s="52">
        <f t="shared" si="1"/>
        <v>85</v>
      </c>
      <c r="N15" s="301"/>
      <c r="O15" s="300"/>
    </row>
    <row r="16" spans="1:19" ht="13.5" thickBot="1">
      <c r="C16" s="24" t="s">
        <v>6</v>
      </c>
      <c r="D16" s="34">
        <f t="shared" si="0"/>
        <v>0.5</v>
      </c>
      <c r="E16" s="35">
        <f t="shared" si="0"/>
        <v>0.16666666666666666</v>
      </c>
      <c r="F16" s="53">
        <f t="shared" si="0"/>
        <v>13.333333333333334</v>
      </c>
      <c r="G16" s="301"/>
      <c r="H16" s="300"/>
      <c r="J16" s="24" t="s">
        <v>6</v>
      </c>
      <c r="K16" s="34">
        <f t="shared" si="1"/>
        <v>0.23333333333333334</v>
      </c>
      <c r="L16" s="35">
        <f t="shared" si="1"/>
        <v>0.1</v>
      </c>
      <c r="M16" s="53">
        <f t="shared" si="1"/>
        <v>11.666666666666666</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375</v>
      </c>
      <c r="E20" s="29">
        <f t="shared" si="2"/>
        <v>1333.3333333333333</v>
      </c>
      <c r="F20" s="51">
        <f t="shared" si="2"/>
        <v>1.411764705882353</v>
      </c>
      <c r="G20" s="305" t="s">
        <v>253</v>
      </c>
      <c r="H20" s="300"/>
      <c r="J20" s="24" t="s">
        <v>9</v>
      </c>
      <c r="K20" s="28">
        <f t="shared" ref="K20:M23" si="3">IF(K27=0,"-",$D$34/K27)</f>
        <v>659.34065934065927</v>
      </c>
      <c r="L20" s="29">
        <f t="shared" si="3"/>
        <v>2857.1428571428573</v>
      </c>
      <c r="M20" s="51">
        <f t="shared" si="3"/>
        <v>2.0905923344947737</v>
      </c>
      <c r="N20" s="305" t="s">
        <v>132</v>
      </c>
      <c r="O20" s="300"/>
    </row>
    <row r="21" spans="1:16">
      <c r="C21" s="24" t="s">
        <v>7</v>
      </c>
      <c r="D21" s="31">
        <f t="shared" si="2"/>
        <v>571.42857142857144</v>
      </c>
      <c r="E21" s="32">
        <f t="shared" si="2"/>
        <v>2400</v>
      </c>
      <c r="F21" s="52">
        <f t="shared" si="2"/>
        <v>4.1379310344827589</v>
      </c>
      <c r="G21" s="301"/>
      <c r="H21" s="300"/>
      <c r="J21" s="24" t="s">
        <v>7</v>
      </c>
      <c r="K21" s="31">
        <f t="shared" si="3"/>
        <v>1132.0754716981132</v>
      </c>
      <c r="L21" s="32">
        <f t="shared" si="3"/>
        <v>4615.3846153846152</v>
      </c>
      <c r="M21" s="52">
        <f t="shared" si="3"/>
        <v>6.3157894736842106</v>
      </c>
      <c r="N21" s="301"/>
      <c r="O21" s="300"/>
    </row>
    <row r="22" spans="1:16">
      <c r="C22" s="24" t="s">
        <v>8</v>
      </c>
      <c r="D22" s="31">
        <f t="shared" si="2"/>
        <v>571.42857142857144</v>
      </c>
      <c r="E22" s="32">
        <f t="shared" si="2"/>
        <v>2857.1428571428573</v>
      </c>
      <c r="F22" s="52">
        <f t="shared" si="2"/>
        <v>7.6923076923076925</v>
      </c>
      <c r="G22" s="301"/>
      <c r="H22" s="300"/>
      <c r="J22" s="24" t="s">
        <v>8</v>
      </c>
      <c r="K22" s="31">
        <f t="shared" si="3"/>
        <v>1333.3333333333333</v>
      </c>
      <c r="L22" s="32">
        <f t="shared" si="3"/>
        <v>5454.545454545455</v>
      </c>
      <c r="M22" s="52">
        <f t="shared" si="3"/>
        <v>11.764705882352942</v>
      </c>
      <c r="N22" s="301"/>
      <c r="O22" s="300"/>
    </row>
    <row r="23" spans="1:16" ht="13.5" thickBot="1">
      <c r="C23" s="24" t="s">
        <v>6</v>
      </c>
      <c r="D23" s="34">
        <f t="shared" si="2"/>
        <v>2000</v>
      </c>
      <c r="E23" s="35">
        <f t="shared" si="2"/>
        <v>6000</v>
      </c>
      <c r="F23" s="53">
        <f t="shared" si="2"/>
        <v>75</v>
      </c>
      <c r="G23" s="301"/>
      <c r="H23" s="300"/>
      <c r="J23" s="24" t="s">
        <v>6</v>
      </c>
      <c r="K23" s="34">
        <f t="shared" si="3"/>
        <v>4285.7142857142853</v>
      </c>
      <c r="L23" s="35">
        <f t="shared" si="3"/>
        <v>10000</v>
      </c>
      <c r="M23" s="53">
        <f t="shared" si="3"/>
        <v>85.714285714285708</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1.6</v>
      </c>
      <c r="E27" s="209">
        <v>0.45</v>
      </c>
      <c r="F27" s="210">
        <v>425</v>
      </c>
      <c r="G27" s="305" t="str">
        <f>"EOS pounds removed per '"&amp;E3&amp;"' of practice per year"</f>
        <v>EOS pounds removed per 'acre' of practice per year</v>
      </c>
      <c r="H27" s="300"/>
      <c r="J27" s="24" t="s">
        <v>9</v>
      </c>
      <c r="K27" s="56">
        <v>0.91</v>
      </c>
      <c r="L27" s="209">
        <v>0.21</v>
      </c>
      <c r="M27" s="210">
        <v>287</v>
      </c>
      <c r="N27" s="299" t="str">
        <f>"delivered pounds removed per '"&amp;E3&amp;"' of practice per year"</f>
        <v>delivered pounds removed per 'acre' of practice per year</v>
      </c>
      <c r="O27" s="300"/>
      <c r="P27" s="204"/>
    </row>
    <row r="28" spans="1:16">
      <c r="C28" s="24" t="s">
        <v>7</v>
      </c>
      <c r="D28" s="211">
        <v>1.05</v>
      </c>
      <c r="E28" s="212">
        <v>0.25</v>
      </c>
      <c r="F28" s="213">
        <v>145</v>
      </c>
      <c r="G28" s="301"/>
      <c r="H28" s="300"/>
      <c r="J28" s="24" t="s">
        <v>7</v>
      </c>
      <c r="K28" s="57">
        <v>0.53</v>
      </c>
      <c r="L28" s="212">
        <v>0.13</v>
      </c>
      <c r="M28" s="213">
        <v>95</v>
      </c>
      <c r="N28" s="301"/>
      <c r="O28" s="300"/>
      <c r="P28" s="204"/>
    </row>
    <row r="29" spans="1:16">
      <c r="C29" s="24" t="s">
        <v>8</v>
      </c>
      <c r="D29" s="211">
        <v>1.05</v>
      </c>
      <c r="E29" s="212">
        <v>0.21</v>
      </c>
      <c r="F29" s="213">
        <v>78</v>
      </c>
      <c r="G29" s="301"/>
      <c r="H29" s="300"/>
      <c r="J29" s="24" t="s">
        <v>8</v>
      </c>
      <c r="K29" s="57">
        <v>0.45</v>
      </c>
      <c r="L29" s="212">
        <v>0.11</v>
      </c>
      <c r="M29" s="213">
        <v>51</v>
      </c>
      <c r="N29" s="301"/>
      <c r="O29" s="300"/>
      <c r="P29" s="204"/>
    </row>
    <row r="30" spans="1:16" ht="13.5" thickBot="1">
      <c r="C30" s="24" t="s">
        <v>6</v>
      </c>
      <c r="D30" s="214">
        <v>0.3</v>
      </c>
      <c r="E30" s="215">
        <v>0.1</v>
      </c>
      <c r="F30" s="216">
        <v>8</v>
      </c>
      <c r="G30" s="301"/>
      <c r="H30" s="300"/>
      <c r="J30" s="24" t="s">
        <v>6</v>
      </c>
      <c r="K30" s="58">
        <v>0.14000000000000001</v>
      </c>
      <c r="L30" s="215">
        <v>0.06</v>
      </c>
      <c r="M30" s="216">
        <v>7</v>
      </c>
      <c r="N30" s="301"/>
      <c r="O30" s="300"/>
      <c r="P30" s="204"/>
    </row>
    <row r="31" spans="1:16" ht="13.5" thickBot="1"/>
    <row r="32" spans="1:16" s="42" customFormat="1">
      <c r="A32" s="86" t="s">
        <v>1</v>
      </c>
    </row>
    <row r="33" spans="1:12" ht="5.25" customHeight="1" thickBot="1"/>
    <row r="34" spans="1:12" ht="13.5" thickBot="1">
      <c r="C34" s="24" t="s">
        <v>11</v>
      </c>
      <c r="D34" s="46">
        <f>-PMT(D39,D38,D36)+D37</f>
        <v>600</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3000</v>
      </c>
      <c r="E36" s="18" t="str">
        <f>"$ per '"&amp;E3&amp;"' of practice"</f>
        <v>$ per 'acre' of practice</v>
      </c>
      <c r="I36" s="78" t="s">
        <v>162</v>
      </c>
      <c r="J36" s="236">
        <v>0</v>
      </c>
      <c r="K36" s="235">
        <v>3000</v>
      </c>
      <c r="L36" s="237">
        <f>J36</f>
        <v>0</v>
      </c>
    </row>
    <row r="37" spans="1:12">
      <c r="C37" s="24" t="s">
        <v>12</v>
      </c>
      <c r="D37" s="39">
        <f>K37</f>
        <v>0</v>
      </c>
      <c r="E37" s="18" t="str">
        <f>"$ per '"&amp;E3&amp;"' of practice per year"</f>
        <v>$ per 'acre' of practice per year</v>
      </c>
      <c r="I37" s="78" t="s">
        <v>161</v>
      </c>
      <c r="J37" s="236">
        <v>15</v>
      </c>
      <c r="K37" s="235">
        <v>0</v>
      </c>
      <c r="L37" s="237">
        <f>J37</f>
        <v>15</v>
      </c>
    </row>
    <row r="38" spans="1:12">
      <c r="C38" s="24" t="s">
        <v>13</v>
      </c>
      <c r="D38" s="249">
        <f>K38</f>
        <v>5</v>
      </c>
      <c r="E38" s="18" t="s">
        <v>15</v>
      </c>
      <c r="I38" s="78" t="s">
        <v>163</v>
      </c>
      <c r="J38" s="245">
        <v>1</v>
      </c>
      <c r="K38" s="244">
        <v>5</v>
      </c>
      <c r="L38" s="246"/>
    </row>
    <row r="39" spans="1:12" ht="13.5" thickBot="1">
      <c r="C39" s="24" t="s">
        <v>14</v>
      </c>
      <c r="D39" s="41">
        <f>Summary!C35</f>
        <v>0</v>
      </c>
      <c r="E39" s="18" t="s">
        <v>16</v>
      </c>
      <c r="I39" s="80" t="s">
        <v>166</v>
      </c>
      <c r="J39" s="239">
        <f>J37+(J36/J38)</f>
        <v>15</v>
      </c>
      <c r="K39" s="238">
        <f>K37+(K36/K38)</f>
        <v>600</v>
      </c>
      <c r="L39" s="240">
        <f>J39</f>
        <v>15</v>
      </c>
    </row>
    <row r="40" spans="1:12">
      <c r="F40" s="234"/>
    </row>
    <row r="41" spans="1:12">
      <c r="I41" s="304" t="s">
        <v>225</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38.xml><?xml version="1.0" encoding="utf-8"?>
<worksheet xmlns="http://schemas.openxmlformats.org/spreadsheetml/2006/main" xmlns:r="http://schemas.openxmlformats.org/officeDocument/2006/relationships">
  <sheetPr codeName="Sheet66"/>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0" style="17" bestFit="1" customWidth="1"/>
    <col min="13" max="16384" width="9.140625" style="17"/>
  </cols>
  <sheetData>
    <row r="1" spans="1:19" s="20" customFormat="1" ht="21" customHeight="1">
      <c r="A1" s="302" t="s">
        <v>136</v>
      </c>
      <c r="B1" s="303"/>
      <c r="D1" s="25" t="s">
        <v>134</v>
      </c>
      <c r="E1" s="89" t="str">
        <f>VLOOKUP($K$1,'BMP info'!A:G,3,FALSE)</f>
        <v>Tree Planting; Vegetative Environmental Buffers ― Poultry</v>
      </c>
      <c r="I1" s="22"/>
      <c r="J1" s="37" t="s">
        <v>135</v>
      </c>
      <c r="K1" s="50">
        <v>29</v>
      </c>
      <c r="L1" s="22"/>
      <c r="M1" s="22"/>
      <c r="N1" s="22"/>
      <c r="O1" s="22"/>
      <c r="P1" s="22"/>
      <c r="Q1" s="22"/>
      <c r="R1" s="22"/>
    </row>
    <row r="2" spans="1:19" s="20" customFormat="1" ht="12.75" customHeight="1">
      <c r="D2" s="48" t="s">
        <v>3</v>
      </c>
      <c r="E2" s="19" t="str">
        <f>VLOOKUP($K$1,'BMP info'!A:G,4,FALSE)</f>
        <v>TreePlant</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landuse change</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27.777777777777775</v>
      </c>
      <c r="E13" s="29">
        <f t="shared" si="0"/>
        <v>3.7240537240537237</v>
      </c>
      <c r="F13" s="51">
        <f t="shared" si="0"/>
        <v>3705.7387057387054</v>
      </c>
      <c r="G13" s="305" t="s">
        <v>254</v>
      </c>
      <c r="H13" s="300"/>
      <c r="J13" s="24" t="s">
        <v>9</v>
      </c>
      <c r="K13" s="28">
        <f t="shared" ref="K13:M16" si="1">IF(K27*$D$34=0,"-",1000*K27/$D$34)</f>
        <v>27.777777777777775</v>
      </c>
      <c r="L13" s="29">
        <f t="shared" si="1"/>
        <v>3.7240537240537237</v>
      </c>
      <c r="M13" s="51">
        <f t="shared" si="1"/>
        <v>3705.7387057387054</v>
      </c>
      <c r="N13" s="305" t="s">
        <v>133</v>
      </c>
      <c r="O13" s="300"/>
    </row>
    <row r="14" spans="1:19">
      <c r="C14" s="24" t="s">
        <v>7</v>
      </c>
      <c r="D14" s="31">
        <f t="shared" si="0"/>
        <v>23.748473748473746</v>
      </c>
      <c r="E14" s="32">
        <f t="shared" si="0"/>
        <v>2.0146520146520146</v>
      </c>
      <c r="F14" s="52">
        <f t="shared" si="0"/>
        <v>1282.051282051282</v>
      </c>
      <c r="G14" s="301"/>
      <c r="H14" s="300"/>
      <c r="J14" s="24" t="s">
        <v>7</v>
      </c>
      <c r="K14" s="31">
        <f t="shared" si="1"/>
        <v>16.971916971916972</v>
      </c>
      <c r="L14" s="32">
        <f t="shared" si="1"/>
        <v>1.343101343101343</v>
      </c>
      <c r="M14" s="52">
        <f t="shared" si="1"/>
        <v>1275.9462759462758</v>
      </c>
      <c r="N14" s="301"/>
      <c r="O14" s="300"/>
    </row>
    <row r="15" spans="1:19">
      <c r="C15" s="24" t="s">
        <v>8</v>
      </c>
      <c r="D15" s="31">
        <f t="shared" si="0"/>
        <v>20.695970695970693</v>
      </c>
      <c r="E15" s="32">
        <f t="shared" si="0"/>
        <v>1.404151404151404</v>
      </c>
      <c r="F15" s="52">
        <f t="shared" si="0"/>
        <v>793.65079365079362</v>
      </c>
      <c r="G15" s="301"/>
      <c r="H15" s="300"/>
      <c r="J15" s="24" t="s">
        <v>8</v>
      </c>
      <c r="K15" s="31">
        <f t="shared" si="1"/>
        <v>5.7387057387057387</v>
      </c>
      <c r="L15" s="32">
        <f t="shared" si="1"/>
        <v>0.6715506715506715</v>
      </c>
      <c r="M15" s="52">
        <f t="shared" si="1"/>
        <v>488.40048840048837</v>
      </c>
      <c r="N15" s="301"/>
      <c r="O15" s="300"/>
    </row>
    <row r="16" spans="1:19" ht="13.5" thickBot="1">
      <c r="C16" s="24" t="s">
        <v>6</v>
      </c>
      <c r="D16" s="34">
        <f t="shared" si="0"/>
        <v>0.36630036630036628</v>
      </c>
      <c r="E16" s="35">
        <f t="shared" si="0"/>
        <v>0.24420024420024419</v>
      </c>
      <c r="F16" s="53">
        <f t="shared" si="0"/>
        <v>250.3052503052503</v>
      </c>
      <c r="G16" s="301"/>
      <c r="H16" s="300"/>
      <c r="J16" s="24" t="s">
        <v>6</v>
      </c>
      <c r="K16" s="34">
        <f t="shared" si="1"/>
        <v>0.1221001221001221</v>
      </c>
      <c r="L16" s="35">
        <f t="shared" si="1"/>
        <v>0.1221001221001221</v>
      </c>
      <c r="M16" s="53">
        <f t="shared" si="1"/>
        <v>61.050061050061046</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36.000000000000007</v>
      </c>
      <c r="E20" s="29">
        <f t="shared" si="2"/>
        <v>268.52459016393448</v>
      </c>
      <c r="F20" s="51">
        <f t="shared" si="2"/>
        <v>0.26985172981878092</v>
      </c>
      <c r="G20" s="305" t="s">
        <v>253</v>
      </c>
      <c r="H20" s="300"/>
      <c r="J20" s="24" t="s">
        <v>9</v>
      </c>
      <c r="K20" s="28">
        <f t="shared" ref="K20:M23" si="3">IF(K27=0,"-",$D$34/K27)</f>
        <v>36.000000000000007</v>
      </c>
      <c r="L20" s="29">
        <f t="shared" si="3"/>
        <v>268.52459016393448</v>
      </c>
      <c r="M20" s="51">
        <f t="shared" si="3"/>
        <v>0.26985172981878092</v>
      </c>
      <c r="N20" s="305" t="s">
        <v>132</v>
      </c>
      <c r="O20" s="300"/>
    </row>
    <row r="21" spans="1:16">
      <c r="C21" s="24" t="s">
        <v>7</v>
      </c>
      <c r="D21" s="31">
        <f t="shared" si="2"/>
        <v>42.10796915167095</v>
      </c>
      <c r="E21" s="32">
        <f t="shared" si="2"/>
        <v>496.36363636363637</v>
      </c>
      <c r="F21" s="52">
        <f t="shared" si="2"/>
        <v>0.78</v>
      </c>
      <c r="G21" s="301"/>
      <c r="H21" s="300"/>
      <c r="J21" s="24" t="s">
        <v>7</v>
      </c>
      <c r="K21" s="31">
        <f t="shared" si="3"/>
        <v>58.920863309352526</v>
      </c>
      <c r="L21" s="32">
        <f t="shared" si="3"/>
        <v>744.54545454545462</v>
      </c>
      <c r="M21" s="52">
        <f t="shared" si="3"/>
        <v>0.78373205741626795</v>
      </c>
      <c r="N21" s="301"/>
      <c r="O21" s="300"/>
    </row>
    <row r="22" spans="1:16">
      <c r="C22" s="24" t="s">
        <v>8</v>
      </c>
      <c r="D22" s="31">
        <f t="shared" si="2"/>
        <v>48.318584070796462</v>
      </c>
      <c r="E22" s="32">
        <f t="shared" si="2"/>
        <v>712.17391304347825</v>
      </c>
      <c r="F22" s="52">
        <f t="shared" si="2"/>
        <v>1.26</v>
      </c>
      <c r="G22" s="301"/>
      <c r="H22" s="300"/>
      <c r="J22" s="24" t="s">
        <v>8</v>
      </c>
      <c r="K22" s="31">
        <f t="shared" si="3"/>
        <v>174.2553191489362</v>
      </c>
      <c r="L22" s="32">
        <f t="shared" si="3"/>
        <v>1489.0909090909092</v>
      </c>
      <c r="M22" s="52">
        <f t="shared" si="3"/>
        <v>2.0475000000000003</v>
      </c>
      <c r="N22" s="301"/>
      <c r="O22" s="300"/>
    </row>
    <row r="23" spans="1:16" ht="13.5" thickBot="1">
      <c r="C23" s="24" t="s">
        <v>6</v>
      </c>
      <c r="D23" s="34">
        <f t="shared" si="2"/>
        <v>2730.0000000000005</v>
      </c>
      <c r="E23" s="35">
        <f t="shared" si="2"/>
        <v>4095</v>
      </c>
      <c r="F23" s="53">
        <f t="shared" si="2"/>
        <v>3.9951219512195126</v>
      </c>
      <c r="G23" s="301"/>
      <c r="H23" s="300"/>
      <c r="J23" s="24" t="s">
        <v>6</v>
      </c>
      <c r="K23" s="34">
        <f t="shared" si="3"/>
        <v>8190</v>
      </c>
      <c r="L23" s="35">
        <f t="shared" si="3"/>
        <v>8190</v>
      </c>
      <c r="M23" s="53">
        <f t="shared" si="3"/>
        <v>16.380000000000003</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4.55</v>
      </c>
      <c r="E27" s="209">
        <v>0.61</v>
      </c>
      <c r="F27" s="210">
        <v>607</v>
      </c>
      <c r="G27" s="305" t="str">
        <f>"EOS pounds removed per '"&amp;E3&amp;"' of practice per year"</f>
        <v>EOS pounds removed per 'acre' of practice per year</v>
      </c>
      <c r="H27" s="300"/>
      <c r="J27" s="24" t="s">
        <v>9</v>
      </c>
      <c r="K27" s="56">
        <v>4.55</v>
      </c>
      <c r="L27" s="209">
        <v>0.61</v>
      </c>
      <c r="M27" s="210">
        <v>607</v>
      </c>
      <c r="N27" s="299" t="str">
        <f>"delivered pounds removed per '"&amp;E3&amp;"' of practice per year"</f>
        <v>delivered pounds removed per 'acre' of practice per year</v>
      </c>
      <c r="O27" s="300"/>
      <c r="P27" s="204"/>
    </row>
    <row r="28" spans="1:16">
      <c r="C28" s="24" t="s">
        <v>7</v>
      </c>
      <c r="D28" s="211">
        <v>3.89</v>
      </c>
      <c r="E28" s="212">
        <v>0.33</v>
      </c>
      <c r="F28" s="213">
        <v>210</v>
      </c>
      <c r="G28" s="301"/>
      <c r="H28" s="300"/>
      <c r="J28" s="24" t="s">
        <v>7</v>
      </c>
      <c r="K28" s="57">
        <v>2.78</v>
      </c>
      <c r="L28" s="212">
        <v>0.22</v>
      </c>
      <c r="M28" s="213">
        <v>209</v>
      </c>
      <c r="N28" s="301"/>
      <c r="O28" s="300"/>
      <c r="P28" s="204"/>
    </row>
    <row r="29" spans="1:16">
      <c r="C29" s="24" t="s">
        <v>8</v>
      </c>
      <c r="D29" s="211">
        <v>3.39</v>
      </c>
      <c r="E29" s="212">
        <v>0.23</v>
      </c>
      <c r="F29" s="213">
        <v>130</v>
      </c>
      <c r="G29" s="301"/>
      <c r="H29" s="300"/>
      <c r="J29" s="24" t="s">
        <v>8</v>
      </c>
      <c r="K29" s="57">
        <v>0.94</v>
      </c>
      <c r="L29" s="212">
        <v>0.11</v>
      </c>
      <c r="M29" s="213">
        <v>80</v>
      </c>
      <c r="N29" s="301"/>
      <c r="O29" s="300"/>
      <c r="P29" s="204"/>
    </row>
    <row r="30" spans="1:16" ht="13.5" thickBot="1">
      <c r="C30" s="24" t="s">
        <v>6</v>
      </c>
      <c r="D30" s="214">
        <v>0.06</v>
      </c>
      <c r="E30" s="215">
        <v>0.04</v>
      </c>
      <c r="F30" s="216">
        <v>41</v>
      </c>
      <c r="G30" s="301"/>
      <c r="H30" s="300"/>
      <c r="J30" s="24" t="s">
        <v>6</v>
      </c>
      <c r="K30" s="58">
        <v>0.02</v>
      </c>
      <c r="L30" s="215">
        <v>0.02</v>
      </c>
      <c r="M30" s="216">
        <v>10</v>
      </c>
      <c r="N30" s="301"/>
      <c r="O30" s="300"/>
      <c r="P30" s="204"/>
    </row>
    <row r="31" spans="1:16" ht="13.5" thickBot="1"/>
    <row r="32" spans="1:16" s="42" customFormat="1">
      <c r="A32" s="86" t="s">
        <v>1</v>
      </c>
    </row>
    <row r="33" spans="1:12" ht="5.25" customHeight="1" thickBot="1"/>
    <row r="34" spans="1:12" ht="13.5" thickBot="1">
      <c r="C34" s="24" t="s">
        <v>11</v>
      </c>
      <c r="D34" s="46">
        <f>-PMT(D39,D38,D36)+D37</f>
        <v>163.80000000000001</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1638</v>
      </c>
      <c r="E36" s="18" t="str">
        <f>"$ per '"&amp;E3&amp;"' of practice"</f>
        <v>$ per 'acre' of practice</v>
      </c>
      <c r="I36" s="78" t="s">
        <v>162</v>
      </c>
      <c r="J36" s="236">
        <v>1649</v>
      </c>
      <c r="K36" s="236">
        <v>1638</v>
      </c>
      <c r="L36" s="241">
        <f>AVERAGE(J36:K36)</f>
        <v>1643.5</v>
      </c>
    </row>
    <row r="37" spans="1:12">
      <c r="C37" s="24" t="s">
        <v>12</v>
      </c>
      <c r="D37" s="39">
        <f>K37</f>
        <v>0</v>
      </c>
      <c r="E37" s="18" t="str">
        <f>"$ per '"&amp;E3&amp;"' of practice per year"</f>
        <v>$ per 'acre' of practice per year</v>
      </c>
      <c r="I37" s="78" t="s">
        <v>161</v>
      </c>
      <c r="J37" s="236">
        <v>124</v>
      </c>
      <c r="K37" s="236">
        <v>0</v>
      </c>
      <c r="L37" s="241">
        <f>AVERAGE(J37:K37)</f>
        <v>62</v>
      </c>
    </row>
    <row r="38" spans="1:12">
      <c r="C38" s="24" t="s">
        <v>13</v>
      </c>
      <c r="D38" s="249">
        <f>K38</f>
        <v>10</v>
      </c>
      <c r="E38" s="18" t="s">
        <v>15</v>
      </c>
      <c r="I38" s="78" t="s">
        <v>163</v>
      </c>
      <c r="J38" s="245">
        <v>20</v>
      </c>
      <c r="K38" s="245">
        <v>10</v>
      </c>
      <c r="L38" s="247">
        <v>15</v>
      </c>
    </row>
    <row r="39" spans="1:12" ht="13.5" thickBot="1">
      <c r="C39" s="24" t="s">
        <v>14</v>
      </c>
      <c r="D39" s="41">
        <f>Summary!C35</f>
        <v>0</v>
      </c>
      <c r="E39" s="18" t="s">
        <v>16</v>
      </c>
      <c r="I39" s="80" t="s">
        <v>166</v>
      </c>
      <c r="J39" s="239">
        <f>J37+(J36/J38)</f>
        <v>206.45</v>
      </c>
      <c r="K39" s="239">
        <f>K37+(K36/K38)</f>
        <v>163.80000000000001</v>
      </c>
      <c r="L39" s="242"/>
    </row>
    <row r="40" spans="1:12">
      <c r="F40" s="234"/>
    </row>
    <row r="41" spans="1:12">
      <c r="I41" s="304" t="s">
        <v>220</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39.xml><?xml version="1.0" encoding="utf-8"?>
<worksheet xmlns="http://schemas.openxmlformats.org/spreadsheetml/2006/main" xmlns:r="http://schemas.openxmlformats.org/officeDocument/2006/relationships">
  <sheetPr codeName="Sheet55"/>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1" width="10" style="17" bestFit="1" customWidth="1"/>
    <col min="12" max="12" width="9.28515625" style="17" bestFit="1" customWidth="1"/>
    <col min="13" max="16384" width="9.140625" style="17"/>
  </cols>
  <sheetData>
    <row r="1" spans="1:19" s="20" customFormat="1" ht="21" customHeight="1">
      <c r="A1" s="302" t="s">
        <v>136</v>
      </c>
      <c r="B1" s="303"/>
      <c r="D1" s="25" t="s">
        <v>134</v>
      </c>
      <c r="E1" s="89" t="str">
        <f>VLOOKUP($K$1,'BMP info'!A:G,3,FALSE)</f>
        <v>Precision Intensive Rotational Grazing</v>
      </c>
      <c r="I1" s="22"/>
      <c r="J1" s="37" t="s">
        <v>135</v>
      </c>
      <c r="K1" s="50">
        <v>30</v>
      </c>
      <c r="L1" s="22"/>
      <c r="M1" s="22"/>
      <c r="N1" s="22"/>
      <c r="O1" s="22"/>
      <c r="P1" s="22"/>
      <c r="Q1" s="22"/>
      <c r="R1" s="22"/>
    </row>
    <row r="2" spans="1:19" s="20" customFormat="1" ht="12.75" customHeight="1">
      <c r="D2" s="48" t="s">
        <v>3</v>
      </c>
      <c r="E2" s="19" t="str">
        <f>VLOOKUP($K$1,'BMP info'!A:G,4,FALSE)</f>
        <v>UpPrecIntRotGraze</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efficiency applied</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2.7666666666666666</v>
      </c>
      <c r="E13" s="29">
        <f t="shared" si="0"/>
        <v>0.68333333333333335</v>
      </c>
      <c r="F13" s="51">
        <f t="shared" si="0"/>
        <v>456.66666666666669</v>
      </c>
      <c r="G13" s="305" t="s">
        <v>254</v>
      </c>
      <c r="H13" s="300"/>
      <c r="J13" s="24" t="s">
        <v>9</v>
      </c>
      <c r="K13" s="28">
        <f t="shared" ref="K13:M16" si="1">IF(K27*$D$34=0,"-",1000*K27/$D$34)</f>
        <v>1.7333333333333334</v>
      </c>
      <c r="L13" s="29">
        <f t="shared" si="1"/>
        <v>0.31666666666666665</v>
      </c>
      <c r="M13" s="51">
        <f t="shared" si="1"/>
        <v>296.66666666666669</v>
      </c>
      <c r="N13" s="305" t="s">
        <v>133</v>
      </c>
      <c r="O13" s="300"/>
    </row>
    <row r="14" spans="1:19">
      <c r="C14" s="24" t="s">
        <v>7</v>
      </c>
      <c r="D14" s="31">
        <f t="shared" si="0"/>
        <v>2.1333333333333333</v>
      </c>
      <c r="E14" s="32">
        <f t="shared" si="0"/>
        <v>0.5</v>
      </c>
      <c r="F14" s="52">
        <f t="shared" si="0"/>
        <v>255</v>
      </c>
      <c r="G14" s="301"/>
      <c r="H14" s="300"/>
      <c r="J14" s="24" t="s">
        <v>7</v>
      </c>
      <c r="K14" s="31">
        <f t="shared" si="1"/>
        <v>1.0333333333333334</v>
      </c>
      <c r="L14" s="32">
        <f t="shared" si="1"/>
        <v>0.25</v>
      </c>
      <c r="M14" s="52">
        <f t="shared" si="1"/>
        <v>170</v>
      </c>
      <c r="N14" s="301"/>
      <c r="O14" s="300"/>
    </row>
    <row r="15" spans="1:19">
      <c r="C15" s="24" t="s">
        <v>8</v>
      </c>
      <c r="D15" s="31">
        <f t="shared" si="0"/>
        <v>2.35</v>
      </c>
      <c r="E15" s="32">
        <f t="shared" si="0"/>
        <v>0.66666666666666663</v>
      </c>
      <c r="F15" s="52">
        <f t="shared" si="0"/>
        <v>211.66666666666666</v>
      </c>
      <c r="G15" s="301"/>
      <c r="H15" s="300"/>
      <c r="J15" s="24" t="s">
        <v>8</v>
      </c>
      <c r="K15" s="31">
        <f t="shared" si="1"/>
        <v>1.0666666666666667</v>
      </c>
      <c r="L15" s="32">
        <f t="shared" si="1"/>
        <v>0.31666666666666665</v>
      </c>
      <c r="M15" s="52">
        <f t="shared" si="1"/>
        <v>136.66666666666666</v>
      </c>
      <c r="N15" s="301"/>
      <c r="O15" s="300"/>
    </row>
    <row r="16" spans="1:19" ht="13.5" thickBot="1">
      <c r="C16" s="24" t="s">
        <v>6</v>
      </c>
      <c r="D16" s="34">
        <f t="shared" si="0"/>
        <v>0.6</v>
      </c>
      <c r="E16" s="35">
        <f t="shared" si="0"/>
        <v>0.2</v>
      </c>
      <c r="F16" s="53">
        <f t="shared" si="0"/>
        <v>51.666666666666664</v>
      </c>
      <c r="G16" s="301"/>
      <c r="H16" s="300"/>
      <c r="J16" s="24" t="s">
        <v>6</v>
      </c>
      <c r="K16" s="34">
        <f t="shared" si="1"/>
        <v>0.36666666666666664</v>
      </c>
      <c r="L16" s="35">
        <f t="shared" si="1"/>
        <v>0.13333333333333333</v>
      </c>
      <c r="M16" s="53">
        <f t="shared" si="1"/>
        <v>35</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361.44578313253015</v>
      </c>
      <c r="E20" s="29">
        <f t="shared" si="2"/>
        <v>1463.4146341463415</v>
      </c>
      <c r="F20" s="51">
        <f t="shared" si="2"/>
        <v>2.1897810218978102</v>
      </c>
      <c r="G20" s="305" t="s">
        <v>253</v>
      </c>
      <c r="H20" s="300"/>
      <c r="J20" s="24" t="s">
        <v>9</v>
      </c>
      <c r="K20" s="28">
        <f t="shared" ref="K20:M23" si="3">IF(K27=0,"-",$D$34/K27)</f>
        <v>576.92307692307691</v>
      </c>
      <c r="L20" s="29">
        <f t="shared" si="3"/>
        <v>3157.8947368421054</v>
      </c>
      <c r="M20" s="51">
        <f t="shared" si="3"/>
        <v>3.3707865168539324</v>
      </c>
      <c r="N20" s="305" t="s">
        <v>132</v>
      </c>
      <c r="O20" s="300"/>
    </row>
    <row r="21" spans="1:16">
      <c r="C21" s="24" t="s">
        <v>7</v>
      </c>
      <c r="D21" s="31">
        <f t="shared" si="2"/>
        <v>468.75</v>
      </c>
      <c r="E21" s="32">
        <f t="shared" si="2"/>
        <v>2000</v>
      </c>
      <c r="F21" s="52">
        <f t="shared" si="2"/>
        <v>3.9215686274509802</v>
      </c>
      <c r="G21" s="301"/>
      <c r="H21" s="300"/>
      <c r="J21" s="24" t="s">
        <v>7</v>
      </c>
      <c r="K21" s="31">
        <f t="shared" si="3"/>
        <v>967.74193548387098</v>
      </c>
      <c r="L21" s="32">
        <f t="shared" si="3"/>
        <v>4000</v>
      </c>
      <c r="M21" s="52">
        <f t="shared" si="3"/>
        <v>5.882352941176471</v>
      </c>
      <c r="N21" s="301"/>
      <c r="O21" s="300"/>
    </row>
    <row r="22" spans="1:16">
      <c r="C22" s="24" t="s">
        <v>8</v>
      </c>
      <c r="D22" s="31">
        <f t="shared" si="2"/>
        <v>425.53191489361706</v>
      </c>
      <c r="E22" s="32">
        <f t="shared" si="2"/>
        <v>1500</v>
      </c>
      <c r="F22" s="52">
        <f t="shared" si="2"/>
        <v>4.7244094488188972</v>
      </c>
      <c r="G22" s="301"/>
      <c r="H22" s="300"/>
      <c r="J22" s="24" t="s">
        <v>8</v>
      </c>
      <c r="K22" s="31">
        <f t="shared" si="3"/>
        <v>937.5</v>
      </c>
      <c r="L22" s="32">
        <f t="shared" si="3"/>
        <v>3157.8947368421054</v>
      </c>
      <c r="M22" s="52">
        <f t="shared" si="3"/>
        <v>7.3170731707317076</v>
      </c>
      <c r="N22" s="301"/>
      <c r="O22" s="300"/>
    </row>
    <row r="23" spans="1:16" ht="13.5" thickBot="1">
      <c r="C23" s="24" t="s">
        <v>6</v>
      </c>
      <c r="D23" s="34">
        <f t="shared" si="2"/>
        <v>1666.6666666666667</v>
      </c>
      <c r="E23" s="35">
        <f t="shared" si="2"/>
        <v>5000</v>
      </c>
      <c r="F23" s="53">
        <f t="shared" si="2"/>
        <v>19.35483870967742</v>
      </c>
      <c r="G23" s="301"/>
      <c r="H23" s="300"/>
      <c r="J23" s="24" t="s">
        <v>6</v>
      </c>
      <c r="K23" s="34">
        <f t="shared" si="3"/>
        <v>2727.2727272727275</v>
      </c>
      <c r="L23" s="35">
        <f t="shared" si="3"/>
        <v>7500</v>
      </c>
      <c r="M23" s="53">
        <f t="shared" si="3"/>
        <v>28.571428571428573</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1.66</v>
      </c>
      <c r="E27" s="209">
        <v>0.41</v>
      </c>
      <c r="F27" s="210">
        <v>274</v>
      </c>
      <c r="G27" s="305" t="str">
        <f>"EOS pounds removed per '"&amp;E3&amp;"' of practice per year"</f>
        <v>EOS pounds removed per 'acre' of practice per year</v>
      </c>
      <c r="H27" s="300"/>
      <c r="J27" s="24" t="s">
        <v>9</v>
      </c>
      <c r="K27" s="56">
        <v>1.04</v>
      </c>
      <c r="L27" s="209">
        <v>0.19</v>
      </c>
      <c r="M27" s="210">
        <v>178</v>
      </c>
      <c r="N27" s="299" t="str">
        <f>"delivered pounds removed per '"&amp;E3&amp;"' of practice per year"</f>
        <v>delivered pounds removed per 'acre' of practice per year</v>
      </c>
      <c r="O27" s="300"/>
      <c r="P27" s="204"/>
    </row>
    <row r="28" spans="1:16">
      <c r="C28" s="24" t="s">
        <v>7</v>
      </c>
      <c r="D28" s="211">
        <v>1.28</v>
      </c>
      <c r="E28" s="212">
        <v>0.3</v>
      </c>
      <c r="F28" s="213">
        <v>153</v>
      </c>
      <c r="G28" s="301"/>
      <c r="H28" s="300"/>
      <c r="J28" s="24" t="s">
        <v>7</v>
      </c>
      <c r="K28" s="57">
        <v>0.62</v>
      </c>
      <c r="L28" s="212">
        <v>0.15</v>
      </c>
      <c r="M28" s="213">
        <v>102</v>
      </c>
      <c r="N28" s="301"/>
      <c r="O28" s="300"/>
      <c r="P28" s="204"/>
    </row>
    <row r="29" spans="1:16">
      <c r="C29" s="24" t="s">
        <v>8</v>
      </c>
      <c r="D29" s="211">
        <v>1.41</v>
      </c>
      <c r="E29" s="212">
        <v>0.4</v>
      </c>
      <c r="F29" s="213">
        <v>127</v>
      </c>
      <c r="G29" s="301"/>
      <c r="H29" s="300"/>
      <c r="J29" s="24" t="s">
        <v>8</v>
      </c>
      <c r="K29" s="57">
        <v>0.64</v>
      </c>
      <c r="L29" s="212">
        <v>0.19</v>
      </c>
      <c r="M29" s="213">
        <v>82</v>
      </c>
      <c r="N29" s="301"/>
      <c r="O29" s="300"/>
      <c r="P29" s="204"/>
    </row>
    <row r="30" spans="1:16" ht="13.5" thickBot="1">
      <c r="C30" s="24" t="s">
        <v>6</v>
      </c>
      <c r="D30" s="214">
        <v>0.36</v>
      </c>
      <c r="E30" s="215">
        <v>0.12</v>
      </c>
      <c r="F30" s="216">
        <v>31</v>
      </c>
      <c r="G30" s="301"/>
      <c r="H30" s="300"/>
      <c r="J30" s="24" t="s">
        <v>6</v>
      </c>
      <c r="K30" s="58">
        <v>0.22</v>
      </c>
      <c r="L30" s="215">
        <v>0.08</v>
      </c>
      <c r="M30" s="216">
        <v>21</v>
      </c>
      <c r="N30" s="301"/>
      <c r="O30" s="300"/>
      <c r="P30" s="204"/>
    </row>
    <row r="31" spans="1:16" ht="13.5" thickBot="1"/>
    <row r="32" spans="1:16" s="42" customFormat="1">
      <c r="A32" s="86" t="s">
        <v>1</v>
      </c>
    </row>
    <row r="33" spans="1:12" ht="5.25" customHeight="1" thickBot="1"/>
    <row r="34" spans="1:12" ht="13.5" thickBot="1">
      <c r="C34" s="24" t="s">
        <v>11</v>
      </c>
      <c r="D34" s="46">
        <f>-PMT(D39,D38,D36)+D37</f>
        <v>600</v>
      </c>
      <c r="E34" s="18" t="str">
        <f>"$ per '"&amp;E3&amp;"' of practice per year"</f>
        <v>$ per 'acre'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K36</f>
        <v>3000</v>
      </c>
      <c r="E36" s="18" t="str">
        <f>"$ per '"&amp;E3&amp;"' of practice"</f>
        <v>$ per 'acre' of practice</v>
      </c>
      <c r="I36" s="78" t="s">
        <v>162</v>
      </c>
      <c r="J36" s="236">
        <v>0</v>
      </c>
      <c r="K36" s="235">
        <v>3000</v>
      </c>
      <c r="L36" s="237">
        <f>J36</f>
        <v>0</v>
      </c>
    </row>
    <row r="37" spans="1:12">
      <c r="C37" s="24" t="s">
        <v>12</v>
      </c>
      <c r="D37" s="39">
        <f>K37</f>
        <v>0</v>
      </c>
      <c r="E37" s="18" t="str">
        <f>"$ per '"&amp;E3&amp;"' of practice per year"</f>
        <v>$ per 'acre' of practice per year</v>
      </c>
      <c r="I37" s="78" t="s">
        <v>161</v>
      </c>
      <c r="J37" s="236">
        <v>93</v>
      </c>
      <c r="K37" s="235">
        <v>0</v>
      </c>
      <c r="L37" s="237">
        <f>J37</f>
        <v>93</v>
      </c>
    </row>
    <row r="38" spans="1:12">
      <c r="C38" s="24" t="s">
        <v>13</v>
      </c>
      <c r="D38" s="249">
        <f>K38</f>
        <v>5</v>
      </c>
      <c r="E38" s="18" t="s">
        <v>15</v>
      </c>
      <c r="I38" s="78" t="s">
        <v>163</v>
      </c>
      <c r="J38" s="245">
        <v>1</v>
      </c>
      <c r="K38" s="244">
        <v>5</v>
      </c>
      <c r="L38" s="246"/>
    </row>
    <row r="39" spans="1:12" ht="13.5" thickBot="1">
      <c r="C39" s="24" t="s">
        <v>14</v>
      </c>
      <c r="D39" s="41">
        <f>Summary!C35</f>
        <v>0</v>
      </c>
      <c r="E39" s="18" t="s">
        <v>16</v>
      </c>
      <c r="I39" s="80" t="s">
        <v>166</v>
      </c>
      <c r="J39" s="239">
        <f>J37+(J36/J38)</f>
        <v>93</v>
      </c>
      <c r="K39" s="238">
        <f>K37+(K36/K38)</f>
        <v>600</v>
      </c>
      <c r="L39" s="240">
        <f>J39</f>
        <v>93</v>
      </c>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69">
    <pageSetUpPr fitToPage="1"/>
  </sheetPr>
  <dimension ref="A1:V69"/>
  <sheetViews>
    <sheetView zoomScale="85" workbookViewId="0">
      <pane xSplit="4" ySplit="2" topLeftCell="E3" activePane="bottomRight" state="frozenSplit"/>
      <selection sqref="A1:B1"/>
      <selection pane="topRight" sqref="A1:B1"/>
      <selection pane="bottomLeft" sqref="A1:B1"/>
      <selection pane="bottomRight" activeCell="A69" sqref="A69"/>
    </sheetView>
  </sheetViews>
  <sheetFormatPr defaultRowHeight="12.75"/>
  <cols>
    <col min="1" max="1" width="7.7109375" style="1" bestFit="1" customWidth="1"/>
    <col min="2" max="2" width="9" style="1" customWidth="1"/>
    <col min="3" max="3" width="49.85546875" style="1" bestFit="1" customWidth="1"/>
    <col min="4" max="4" width="21.140625" style="1" customWidth="1"/>
    <col min="5" max="5" width="4.28515625" style="17" customWidth="1"/>
    <col min="6" max="8" width="9.140625" style="59"/>
    <col min="9" max="9" width="20.28515625" style="1" bestFit="1" customWidth="1"/>
    <col min="10" max="10" width="4.28515625" style="17" customWidth="1"/>
    <col min="11" max="11" width="11.5703125" style="1" bestFit="1" customWidth="1"/>
    <col min="12" max="12" width="12.5703125" style="1" customWidth="1"/>
    <col min="13" max="13" width="4.28515625" style="17" customWidth="1"/>
    <col min="14" max="16" width="9.140625" style="59"/>
    <col min="17" max="17" width="8.85546875" style="1" bestFit="1" customWidth="1"/>
    <col min="18" max="18" width="4.28515625" style="17" customWidth="1"/>
    <col min="19" max="21" width="9.140625" style="59"/>
    <col min="22" max="22" width="5.5703125" style="1" bestFit="1" customWidth="1"/>
    <col min="23" max="16384" width="9.140625" style="1"/>
  </cols>
  <sheetData>
    <row r="1" spans="1:22" ht="16.5" thickBot="1">
      <c r="A1" s="294" t="s">
        <v>198</v>
      </c>
      <c r="B1" s="295"/>
      <c r="C1" s="297"/>
      <c r="D1" s="298"/>
      <c r="F1" s="294" t="s">
        <v>192</v>
      </c>
      <c r="G1" s="295"/>
      <c r="H1" s="297"/>
      <c r="I1" s="297"/>
      <c r="K1" s="294" t="s">
        <v>193</v>
      </c>
      <c r="L1" s="295"/>
      <c r="N1" s="294" t="s">
        <v>259</v>
      </c>
      <c r="O1" s="295"/>
      <c r="P1" s="295"/>
      <c r="Q1" s="296"/>
      <c r="S1" s="294" t="s">
        <v>194</v>
      </c>
      <c r="T1" s="295"/>
      <c r="U1" s="295"/>
      <c r="V1" s="296"/>
    </row>
    <row r="2" spans="1:22" s="60" customFormat="1" ht="13.5" thickBot="1">
      <c r="A2" s="121" t="s">
        <v>0</v>
      </c>
      <c r="B2" s="122" t="s">
        <v>68</v>
      </c>
      <c r="C2" s="123" t="s">
        <v>71</v>
      </c>
      <c r="D2" s="122" t="s">
        <v>72</v>
      </c>
      <c r="E2" s="18"/>
      <c r="F2" s="117" t="s">
        <v>181</v>
      </c>
      <c r="G2" s="118" t="s">
        <v>182</v>
      </c>
      <c r="H2" s="118" t="s">
        <v>183</v>
      </c>
      <c r="I2" s="119" t="s">
        <v>79</v>
      </c>
      <c r="J2" s="18"/>
      <c r="K2" s="120" t="s">
        <v>191</v>
      </c>
      <c r="L2" s="119" t="s">
        <v>79</v>
      </c>
      <c r="M2" s="18"/>
      <c r="N2" s="117" t="s">
        <v>181</v>
      </c>
      <c r="O2" s="118" t="s">
        <v>182</v>
      </c>
      <c r="P2" s="118" t="s">
        <v>183</v>
      </c>
      <c r="Q2" s="119" t="s">
        <v>79</v>
      </c>
      <c r="R2" s="18"/>
      <c r="S2" s="117" t="s">
        <v>181</v>
      </c>
      <c r="T2" s="118" t="s">
        <v>182</v>
      </c>
      <c r="U2" s="118" t="s">
        <v>183</v>
      </c>
      <c r="V2" s="119" t="s">
        <v>79</v>
      </c>
    </row>
    <row r="3" spans="1:22" ht="33.75">
      <c r="A3" s="7">
        <v>1</v>
      </c>
      <c r="B3" s="11" t="s">
        <v>60</v>
      </c>
      <c r="C3" s="71" t="s">
        <v>115</v>
      </c>
      <c r="D3" s="258" t="s">
        <v>116</v>
      </c>
      <c r="F3" s="69">
        <f>'1'!D$30</f>
        <v>0</v>
      </c>
      <c r="G3" s="70">
        <f>'1'!D$29</f>
        <v>0</v>
      </c>
      <c r="H3" s="70">
        <f>'1'!D$27</f>
        <v>0</v>
      </c>
      <c r="I3" s="115" t="str">
        <f>"pounds of TN reduced
per "&amp;'BMP info'!E2&amp;"
per year"</f>
        <v>pounds of TN reduced
per animal unit
per year</v>
      </c>
      <c r="J3" s="83"/>
      <c r="K3" s="104">
        <f>'1'!D$34</f>
        <v>5</v>
      </c>
      <c r="L3" s="115" t="str">
        <f>"per "&amp;'BMP info'!E2&amp;"
per year"</f>
        <v>per animal unit
per year</v>
      </c>
      <c r="M3" s="83"/>
      <c r="N3" s="76">
        <f t="shared" ref="N3:N34" si="0">IF($K3=0,"-",1000*F3/$K3)</f>
        <v>0</v>
      </c>
      <c r="O3" s="77">
        <f t="shared" ref="O3:O34" si="1">IF($K3=0,"-",1000*G3/$K3)</f>
        <v>0</v>
      </c>
      <c r="P3" s="77">
        <f t="shared" ref="P3:P34" si="2">IF($K3=0,"-",1000*H3/$K3)</f>
        <v>0</v>
      </c>
      <c r="Q3" s="115" t="s">
        <v>137</v>
      </c>
      <c r="R3" s="83"/>
      <c r="S3" s="106" t="str">
        <f t="shared" ref="S3:S34" si="3">IF($K3*H3=0,"-",$K3/H3)</f>
        <v>-</v>
      </c>
      <c r="T3" s="107" t="str">
        <f t="shared" ref="T3:T34" si="4">IF($K3*G3=0,"-",$K3/G3)</f>
        <v>-</v>
      </c>
      <c r="U3" s="107" t="str">
        <f t="shared" ref="U3:U34" si="5">IF($K3*F3=0,"-",$K3/F3)</f>
        <v>-</v>
      </c>
      <c r="V3" s="115" t="s">
        <v>190</v>
      </c>
    </row>
    <row r="4" spans="1:22" ht="33.75">
      <c r="A4" s="8">
        <v>2</v>
      </c>
      <c r="B4" s="12" t="s">
        <v>60</v>
      </c>
      <c r="C4" s="71" t="s">
        <v>75</v>
      </c>
      <c r="D4" s="259" t="s">
        <v>76</v>
      </c>
      <c r="F4" s="69">
        <f>'2'!D$30</f>
        <v>0</v>
      </c>
      <c r="G4" s="70">
        <f>'2'!D$29</f>
        <v>0</v>
      </c>
      <c r="H4" s="70">
        <f>'2'!D$27</f>
        <v>0</v>
      </c>
      <c r="I4" s="115" t="str">
        <f>"pounds of TN reduced
per "&amp;'BMP info'!E3&amp;"
per year"</f>
        <v>pounds of TN reduced
per animal unit
per year</v>
      </c>
      <c r="J4" s="83"/>
      <c r="K4" s="104">
        <f>'2'!D$34</f>
        <v>23.2</v>
      </c>
      <c r="L4" s="115" t="str">
        <f>"per "&amp;'BMP info'!E3&amp;"
per year"</f>
        <v>per animal unit
per year</v>
      </c>
      <c r="M4" s="83"/>
      <c r="N4" s="76">
        <f t="shared" si="0"/>
        <v>0</v>
      </c>
      <c r="O4" s="77">
        <f t="shared" si="1"/>
        <v>0</v>
      </c>
      <c r="P4" s="77">
        <f t="shared" si="2"/>
        <v>0</v>
      </c>
      <c r="Q4" s="115" t="s">
        <v>137</v>
      </c>
      <c r="R4" s="83"/>
      <c r="S4" s="106" t="str">
        <f t="shared" si="3"/>
        <v>-</v>
      </c>
      <c r="T4" s="107" t="str">
        <f t="shared" si="4"/>
        <v>-</v>
      </c>
      <c r="U4" s="107" t="str">
        <f t="shared" si="5"/>
        <v>-</v>
      </c>
      <c r="V4" s="115" t="s">
        <v>190</v>
      </c>
    </row>
    <row r="5" spans="1:22" ht="33.75">
      <c r="A5" s="8">
        <v>3</v>
      </c>
      <c r="B5" s="12" t="s">
        <v>60</v>
      </c>
      <c r="C5" s="71" t="s">
        <v>77</v>
      </c>
      <c r="D5" s="259" t="s">
        <v>78</v>
      </c>
      <c r="F5" s="73">
        <f>'3'!D$30</f>
        <v>5.86</v>
      </c>
      <c r="G5" s="74">
        <f>'3'!D$29</f>
        <v>21.53</v>
      </c>
      <c r="H5" s="74">
        <f>'3'!D$27</f>
        <v>45.35</v>
      </c>
      <c r="I5" s="115" t="str">
        <f>"pounds of TN reduced
per "&amp;'BMP info'!E4&amp;"
per year"</f>
        <v>pounds of TN reduced
per acre
per year</v>
      </c>
      <c r="J5" s="83"/>
      <c r="K5" s="103">
        <f>'3'!D$34</f>
        <v>570</v>
      </c>
      <c r="L5" s="115" t="str">
        <f>"per "&amp;'BMP info'!E4&amp;"
per year"</f>
        <v>per acre
per year</v>
      </c>
      <c r="M5" s="83"/>
      <c r="N5" s="62">
        <f t="shared" si="0"/>
        <v>10.280701754385966</v>
      </c>
      <c r="O5" s="63">
        <f t="shared" si="1"/>
        <v>37.771929824561404</v>
      </c>
      <c r="P5" s="63">
        <f t="shared" si="2"/>
        <v>79.561403508771932</v>
      </c>
      <c r="Q5" s="115" t="s">
        <v>137</v>
      </c>
      <c r="R5" s="83"/>
      <c r="S5" s="108">
        <f t="shared" si="3"/>
        <v>12.56890848952591</v>
      </c>
      <c r="T5" s="109">
        <f t="shared" si="4"/>
        <v>26.474686483975848</v>
      </c>
      <c r="U5" s="109">
        <f t="shared" si="5"/>
        <v>97.269624573378834</v>
      </c>
      <c r="V5" s="115" t="s">
        <v>190</v>
      </c>
    </row>
    <row r="6" spans="1:22" ht="33.75">
      <c r="A6" s="8">
        <v>4</v>
      </c>
      <c r="B6" s="12" t="s">
        <v>60</v>
      </c>
      <c r="C6" s="71" t="s">
        <v>98</v>
      </c>
      <c r="D6" s="259" t="s">
        <v>99</v>
      </c>
      <c r="F6" s="73">
        <f>'4'!D$30</f>
        <v>99.2</v>
      </c>
      <c r="G6" s="74">
        <f>'4'!D$29</f>
        <v>103.88</v>
      </c>
      <c r="H6" s="74">
        <f>'4'!D$27</f>
        <v>182.42</v>
      </c>
      <c r="I6" s="115" t="str">
        <f>"pounds of TN reduced
per "&amp;'BMP info'!E5&amp;"
per year"</f>
        <v>pounds of TN reduced
per acre
per year</v>
      </c>
      <c r="J6" s="83"/>
      <c r="K6" s="104">
        <f>'4'!D$34</f>
        <v>500</v>
      </c>
      <c r="L6" s="115" t="str">
        <f>"per "&amp;'BMP info'!E5&amp;"
per year"</f>
        <v>per acre
per year</v>
      </c>
      <c r="M6" s="83"/>
      <c r="N6" s="84">
        <f t="shared" si="0"/>
        <v>198.4</v>
      </c>
      <c r="O6" s="85">
        <f t="shared" si="1"/>
        <v>207.76</v>
      </c>
      <c r="P6" s="85">
        <f t="shared" si="2"/>
        <v>364.84</v>
      </c>
      <c r="Q6" s="115" t="s">
        <v>137</v>
      </c>
      <c r="R6" s="83"/>
      <c r="S6" s="110">
        <f t="shared" si="3"/>
        <v>2.7409275298761102</v>
      </c>
      <c r="T6" s="111">
        <f t="shared" si="4"/>
        <v>4.8132460531382364</v>
      </c>
      <c r="U6" s="111">
        <f t="shared" si="5"/>
        <v>5.040322580645161</v>
      </c>
      <c r="V6" s="115" t="s">
        <v>190</v>
      </c>
    </row>
    <row r="7" spans="1:22" ht="33.75">
      <c r="A7" s="8">
        <v>5</v>
      </c>
      <c r="B7" s="12" t="s">
        <v>60</v>
      </c>
      <c r="C7" s="71" t="s">
        <v>73</v>
      </c>
      <c r="D7" s="259" t="s">
        <v>74</v>
      </c>
      <c r="F7" s="73">
        <f>'5'!D$30</f>
        <v>10.23</v>
      </c>
      <c r="G7" s="74">
        <f>'5'!D$29</f>
        <v>10.23</v>
      </c>
      <c r="H7" s="74">
        <f>'5'!D$27</f>
        <v>10.8</v>
      </c>
      <c r="I7" s="115" t="str">
        <f>"pounds of TN reduced
per "&amp;'BMP info'!E6&amp;"
per year"</f>
        <v>pounds of TN reduced
per acre
per year</v>
      </c>
      <c r="J7" s="83"/>
      <c r="K7" s="104">
        <f>'5'!D$34</f>
        <v>18.100000000000001</v>
      </c>
      <c r="L7" s="115" t="str">
        <f>"per "&amp;'BMP info'!E6&amp;"
per year"</f>
        <v>per acre
per year</v>
      </c>
      <c r="M7" s="83"/>
      <c r="N7" s="84">
        <f t="shared" si="0"/>
        <v>565.19337016574582</v>
      </c>
      <c r="O7" s="85">
        <f t="shared" si="1"/>
        <v>565.19337016574582</v>
      </c>
      <c r="P7" s="85">
        <f t="shared" si="2"/>
        <v>596.68508287292809</v>
      </c>
      <c r="Q7" s="115" t="s">
        <v>137</v>
      </c>
      <c r="R7" s="83"/>
      <c r="S7" s="110">
        <f t="shared" si="3"/>
        <v>1.675925925925926</v>
      </c>
      <c r="T7" s="111">
        <f t="shared" si="4"/>
        <v>1.7693059628543499</v>
      </c>
      <c r="U7" s="111">
        <f t="shared" si="5"/>
        <v>1.7693059628543499</v>
      </c>
      <c r="V7" s="115" t="s">
        <v>190</v>
      </c>
    </row>
    <row r="8" spans="1:22" ht="33.75">
      <c r="A8" s="8">
        <v>6</v>
      </c>
      <c r="B8" s="12" t="s">
        <v>60</v>
      </c>
      <c r="C8" s="71" t="s">
        <v>94</v>
      </c>
      <c r="D8" s="259" t="s">
        <v>95</v>
      </c>
      <c r="F8" s="73">
        <f>'6'!D$30</f>
        <v>200.16</v>
      </c>
      <c r="G8" s="74">
        <f>'6'!D$29</f>
        <v>382.1</v>
      </c>
      <c r="H8" s="74">
        <f>'6'!D$27</f>
        <v>655.32000000000005</v>
      </c>
      <c r="I8" s="115" t="str">
        <f>"pounds of TN reduced
per "&amp;'BMP info'!E7&amp;"
per year"</f>
        <v>pounds of TN reduced
per acre
per year</v>
      </c>
      <c r="J8" s="83"/>
      <c r="K8" s="104">
        <f>'6'!D$34</f>
        <v>350</v>
      </c>
      <c r="L8" s="115" t="str">
        <f>"per "&amp;'BMP info'!E7&amp;"
per year"</f>
        <v>per acre
per year</v>
      </c>
      <c r="M8" s="83"/>
      <c r="N8" s="84">
        <f t="shared" si="0"/>
        <v>571.88571428571424</v>
      </c>
      <c r="O8" s="85">
        <f t="shared" si="1"/>
        <v>1091.7142857142858</v>
      </c>
      <c r="P8" s="85">
        <f t="shared" si="2"/>
        <v>1872.3428571428572</v>
      </c>
      <c r="Q8" s="115" t="s">
        <v>137</v>
      </c>
      <c r="R8" s="83"/>
      <c r="S8" s="110">
        <f t="shared" si="3"/>
        <v>0.53409021546725255</v>
      </c>
      <c r="T8" s="111">
        <f t="shared" si="4"/>
        <v>0.91599057838262232</v>
      </c>
      <c r="U8" s="111">
        <f t="shared" si="5"/>
        <v>1.7486011191047162</v>
      </c>
      <c r="V8" s="115" t="s">
        <v>190</v>
      </c>
    </row>
    <row r="9" spans="1:22" ht="33.75">
      <c r="A9" s="8">
        <v>7</v>
      </c>
      <c r="B9" s="12" t="s">
        <v>60</v>
      </c>
      <c r="C9" s="71" t="s">
        <v>123</v>
      </c>
      <c r="D9" s="259" t="s">
        <v>124</v>
      </c>
      <c r="F9" s="73">
        <f>'7'!D$30</f>
        <v>0.28999999999999998</v>
      </c>
      <c r="G9" s="74">
        <f>'7'!D$29</f>
        <v>0.4</v>
      </c>
      <c r="H9" s="74">
        <f>'7'!D$27</f>
        <v>1.03</v>
      </c>
      <c r="I9" s="115" t="str">
        <f>"pounds of TN reduced
per "&amp;'BMP info'!E8&amp;"
per year"</f>
        <v>pounds of TN reduced
per acre
per year</v>
      </c>
      <c r="J9" s="83"/>
      <c r="K9" s="103">
        <f>'7'!D$34</f>
        <v>45</v>
      </c>
      <c r="L9" s="115" t="str">
        <f>"per "&amp;'BMP info'!E8&amp;"
per year"</f>
        <v>per acre
per year</v>
      </c>
      <c r="M9" s="83"/>
      <c r="N9" s="62">
        <f t="shared" si="0"/>
        <v>6.4444444444444446</v>
      </c>
      <c r="O9" s="63">
        <f t="shared" si="1"/>
        <v>8.8888888888888893</v>
      </c>
      <c r="P9" s="63">
        <f t="shared" si="2"/>
        <v>22.888888888888889</v>
      </c>
      <c r="Q9" s="115" t="s">
        <v>137</v>
      </c>
      <c r="R9" s="83"/>
      <c r="S9" s="108">
        <f t="shared" si="3"/>
        <v>43.689320388349515</v>
      </c>
      <c r="T9" s="109">
        <f t="shared" si="4"/>
        <v>112.5</v>
      </c>
      <c r="U9" s="109">
        <f t="shared" si="5"/>
        <v>155.17241379310346</v>
      </c>
      <c r="V9" s="115" t="s">
        <v>190</v>
      </c>
    </row>
    <row r="10" spans="1:22" ht="33.75">
      <c r="A10" s="8">
        <v>8</v>
      </c>
      <c r="B10" s="12" t="s">
        <v>60</v>
      </c>
      <c r="C10" s="71" t="s">
        <v>188</v>
      </c>
      <c r="D10" s="259" t="s">
        <v>187</v>
      </c>
      <c r="F10" s="73">
        <f>'8'!D$30</f>
        <v>0.26</v>
      </c>
      <c r="G10" s="74">
        <f>'8'!D$29</f>
        <v>0.48</v>
      </c>
      <c r="H10" s="74">
        <f>'8'!D$27</f>
        <v>2.12</v>
      </c>
      <c r="I10" s="115" t="str">
        <f>"pounds of TN reduced
per "&amp;'BMP info'!E9&amp;"
per year"</f>
        <v>pounds of TN reduced
per acre
per year</v>
      </c>
      <c r="J10" s="83"/>
      <c r="K10" s="103">
        <f>'8'!D$34</f>
        <v>23</v>
      </c>
      <c r="L10" s="115" t="str">
        <f>"per "&amp;'BMP info'!E9&amp;"
per year"</f>
        <v>per acre
per year</v>
      </c>
      <c r="M10" s="83"/>
      <c r="N10" s="62">
        <f t="shared" si="0"/>
        <v>11.304347826086957</v>
      </c>
      <c r="O10" s="63">
        <f t="shared" si="1"/>
        <v>20.869565217391305</v>
      </c>
      <c r="P10" s="63">
        <f t="shared" si="2"/>
        <v>92.173913043478265</v>
      </c>
      <c r="Q10" s="115" t="s">
        <v>137</v>
      </c>
      <c r="R10" s="83"/>
      <c r="S10" s="108">
        <f t="shared" si="3"/>
        <v>10.849056603773585</v>
      </c>
      <c r="T10" s="109">
        <f t="shared" si="4"/>
        <v>47.916666666666671</v>
      </c>
      <c r="U10" s="109">
        <f t="shared" si="5"/>
        <v>88.461538461538453</v>
      </c>
      <c r="V10" s="115" t="s">
        <v>190</v>
      </c>
    </row>
    <row r="11" spans="1:22" ht="33.75">
      <c r="A11" s="8">
        <v>9</v>
      </c>
      <c r="B11" s="12" t="s">
        <v>60</v>
      </c>
      <c r="C11" s="71" t="s">
        <v>80</v>
      </c>
      <c r="D11" s="259" t="s">
        <v>81</v>
      </c>
      <c r="F11" s="73">
        <f>'9'!D$30</f>
        <v>2.79</v>
      </c>
      <c r="G11" s="74">
        <f>'9'!D$29</f>
        <v>3.76</v>
      </c>
      <c r="H11" s="74">
        <f>'9'!D$27</f>
        <v>12.54</v>
      </c>
      <c r="I11" s="115" t="str">
        <f>"pounds of TN reduced
per "&amp;'BMP info'!E10&amp;"
per year"</f>
        <v>pounds of TN reduced
per acre
per year</v>
      </c>
      <c r="J11" s="83"/>
      <c r="K11" s="103">
        <f>'9'!D$34</f>
        <v>50.42</v>
      </c>
      <c r="L11" s="115" t="str">
        <f>"per "&amp;'BMP info'!E10&amp;"
per year"</f>
        <v>per acre
per year</v>
      </c>
      <c r="M11" s="83"/>
      <c r="N11" s="62">
        <f t="shared" si="0"/>
        <v>55.335184450614832</v>
      </c>
      <c r="O11" s="63">
        <f t="shared" si="1"/>
        <v>74.573581911939698</v>
      </c>
      <c r="P11" s="63">
        <f t="shared" si="2"/>
        <v>248.71082903609678</v>
      </c>
      <c r="Q11" s="115" t="s">
        <v>137</v>
      </c>
      <c r="R11" s="83"/>
      <c r="S11" s="108">
        <f t="shared" si="3"/>
        <v>4.0207336523126003</v>
      </c>
      <c r="T11" s="109">
        <f t="shared" si="4"/>
        <v>13.409574468085108</v>
      </c>
      <c r="U11" s="109">
        <f t="shared" si="5"/>
        <v>18.071684587813621</v>
      </c>
      <c r="V11" s="115" t="s">
        <v>190</v>
      </c>
    </row>
    <row r="12" spans="1:22" ht="33.75">
      <c r="A12" s="8">
        <v>10</v>
      </c>
      <c r="B12" s="12" t="s">
        <v>60</v>
      </c>
      <c r="C12" s="71" t="s">
        <v>82</v>
      </c>
      <c r="D12" s="259" t="s">
        <v>83</v>
      </c>
      <c r="F12" s="73">
        <f>'10'!D$30</f>
        <v>0.33703881484696552</v>
      </c>
      <c r="G12" s="74">
        <f>'10'!D$29</f>
        <v>0.42579943293424521</v>
      </c>
      <c r="H12" s="74">
        <f>'10'!D$27</f>
        <v>0.88253296701454009</v>
      </c>
      <c r="I12" s="115" t="str">
        <f>"pounds of TN reduced
per "&amp;'BMP info'!E11&amp;"
per year"</f>
        <v>pounds of TN reduced
per acre
per year</v>
      </c>
      <c r="J12" s="83"/>
      <c r="K12" s="103">
        <f>'10'!D$34</f>
        <v>960</v>
      </c>
      <c r="L12" s="115" t="str">
        <f>"per "&amp;'BMP info'!E11&amp;"
per year"</f>
        <v>per acre
per year</v>
      </c>
      <c r="M12" s="83"/>
      <c r="N12" s="62">
        <f t="shared" si="0"/>
        <v>0.35108209879892244</v>
      </c>
      <c r="O12" s="63">
        <f t="shared" si="1"/>
        <v>0.44354107597317211</v>
      </c>
      <c r="P12" s="63">
        <f t="shared" si="2"/>
        <v>0.91930517397347922</v>
      </c>
      <c r="Q12" s="115" t="s">
        <v>137</v>
      </c>
      <c r="R12" s="83"/>
      <c r="S12" s="108">
        <f t="shared" si="3"/>
        <v>1087.7780614219068</v>
      </c>
      <c r="T12" s="109">
        <f t="shared" si="4"/>
        <v>2254.582617418022</v>
      </c>
      <c r="U12" s="109">
        <f t="shared" si="5"/>
        <v>2848.3366238867584</v>
      </c>
      <c r="V12" s="115" t="s">
        <v>190</v>
      </c>
    </row>
    <row r="13" spans="1:22" ht="33.75">
      <c r="A13" s="8">
        <v>11</v>
      </c>
      <c r="B13" s="12" t="s">
        <v>60</v>
      </c>
      <c r="C13" s="71" t="s">
        <v>86</v>
      </c>
      <c r="D13" s="259" t="s">
        <v>87</v>
      </c>
      <c r="F13" s="73">
        <f>'11'!D$30</f>
        <v>0.46</v>
      </c>
      <c r="G13" s="74">
        <f>'11'!D$29</f>
        <v>0.64</v>
      </c>
      <c r="H13" s="74">
        <f>'11'!D$27</f>
        <v>2.2999999999999998</v>
      </c>
      <c r="I13" s="115" t="str">
        <f>"pounds of TN reduced
per "&amp;'BMP info'!E12&amp;"
per year"</f>
        <v>pounds of TN reduced
per acre
per year</v>
      </c>
      <c r="J13" s="83"/>
      <c r="K13" s="103">
        <f>'11'!D$34</f>
        <v>13.712</v>
      </c>
      <c r="L13" s="115" t="str">
        <f>"per "&amp;'BMP info'!E12&amp;"
per year"</f>
        <v>per acre
per year</v>
      </c>
      <c r="M13" s="83"/>
      <c r="N13" s="62">
        <f t="shared" si="0"/>
        <v>33.54725787631272</v>
      </c>
      <c r="O13" s="63">
        <f t="shared" si="1"/>
        <v>46.674445740956827</v>
      </c>
      <c r="P13" s="63">
        <f t="shared" si="2"/>
        <v>167.73628938156361</v>
      </c>
      <c r="Q13" s="115" t="s">
        <v>137</v>
      </c>
      <c r="R13" s="83"/>
      <c r="S13" s="108">
        <f t="shared" si="3"/>
        <v>5.9617391304347827</v>
      </c>
      <c r="T13" s="109">
        <f t="shared" si="4"/>
        <v>21.425000000000001</v>
      </c>
      <c r="U13" s="109">
        <f t="shared" si="5"/>
        <v>29.80869565217391</v>
      </c>
      <c r="V13" s="115" t="s">
        <v>190</v>
      </c>
    </row>
    <row r="14" spans="1:22" ht="33.75">
      <c r="A14" s="8">
        <v>12</v>
      </c>
      <c r="B14" s="12" t="s">
        <v>60</v>
      </c>
      <c r="C14" s="71" t="s">
        <v>65</v>
      </c>
      <c r="D14" s="259" t="s">
        <v>125</v>
      </c>
      <c r="F14" s="73">
        <f>'12'!D$30</f>
        <v>0</v>
      </c>
      <c r="G14" s="74">
        <f>'12'!D$29</f>
        <v>0</v>
      </c>
      <c r="H14" s="74">
        <f>'12'!D$27</f>
        <v>0</v>
      </c>
      <c r="I14" s="115" t="str">
        <f>"pounds of TN reduced
per "&amp;'BMP info'!E13&amp;"
per year"</f>
        <v>pounds of TN reduced
per acre
per year</v>
      </c>
      <c r="J14" s="83"/>
      <c r="K14" s="103">
        <f>'12'!D$34</f>
        <v>125</v>
      </c>
      <c r="L14" s="115" t="str">
        <f>"per "&amp;'BMP info'!E13&amp;"
per year"</f>
        <v>per acre
per year</v>
      </c>
      <c r="M14" s="83"/>
      <c r="N14" s="62">
        <f t="shared" si="0"/>
        <v>0</v>
      </c>
      <c r="O14" s="63">
        <f t="shared" si="1"/>
        <v>0</v>
      </c>
      <c r="P14" s="63">
        <f t="shared" si="2"/>
        <v>0</v>
      </c>
      <c r="Q14" s="115" t="s">
        <v>137</v>
      </c>
      <c r="R14" s="83"/>
      <c r="S14" s="108" t="str">
        <f t="shared" si="3"/>
        <v>-</v>
      </c>
      <c r="T14" s="109" t="str">
        <f t="shared" si="4"/>
        <v>-</v>
      </c>
      <c r="U14" s="109" t="str">
        <f t="shared" si="5"/>
        <v>-</v>
      </c>
      <c r="V14" s="115" t="s">
        <v>190</v>
      </c>
    </row>
    <row r="15" spans="1:22" ht="33.75">
      <c r="A15" s="8">
        <v>13</v>
      </c>
      <c r="B15" s="12" t="s">
        <v>60</v>
      </c>
      <c r="C15" s="71" t="s">
        <v>88</v>
      </c>
      <c r="D15" s="259" t="s">
        <v>89</v>
      </c>
      <c r="F15" s="73">
        <f>'13'!D$30</f>
        <v>0.77</v>
      </c>
      <c r="G15" s="74">
        <f>'13'!D$29</f>
        <v>1.1399999999999999</v>
      </c>
      <c r="H15" s="74">
        <f>'13'!D$27</f>
        <v>3.42</v>
      </c>
      <c r="I15" s="115" t="str">
        <f>"pounds of TN reduced
per "&amp;'BMP info'!E14&amp;"
per year"</f>
        <v>pounds of TN reduced
per acre
per year</v>
      </c>
      <c r="J15" s="83"/>
      <c r="K15" s="103">
        <f>'13'!D$34</f>
        <v>10</v>
      </c>
      <c r="L15" s="115" t="str">
        <f>"per "&amp;'BMP info'!E14&amp;"
per year"</f>
        <v>per acre
per year</v>
      </c>
      <c r="M15" s="83"/>
      <c r="N15" s="62">
        <f t="shared" si="0"/>
        <v>77</v>
      </c>
      <c r="O15" s="63">
        <f t="shared" si="1"/>
        <v>114</v>
      </c>
      <c r="P15" s="63">
        <f t="shared" si="2"/>
        <v>342</v>
      </c>
      <c r="Q15" s="115" t="s">
        <v>137</v>
      </c>
      <c r="R15" s="83"/>
      <c r="S15" s="108">
        <f t="shared" si="3"/>
        <v>2.9239766081871346</v>
      </c>
      <c r="T15" s="109">
        <f t="shared" si="4"/>
        <v>8.7719298245614041</v>
      </c>
      <c r="U15" s="109">
        <f t="shared" si="5"/>
        <v>12.987012987012987</v>
      </c>
      <c r="V15" s="115" t="s">
        <v>190</v>
      </c>
    </row>
    <row r="16" spans="1:22" ht="33.75">
      <c r="A16" s="8">
        <v>14</v>
      </c>
      <c r="B16" s="12" t="s">
        <v>60</v>
      </c>
      <c r="C16" s="71" t="s">
        <v>90</v>
      </c>
      <c r="D16" s="259" t="s">
        <v>91</v>
      </c>
      <c r="F16" s="73">
        <f>'14'!D$30</f>
        <v>23.21</v>
      </c>
      <c r="G16" s="74">
        <f>'14'!D$29</f>
        <v>54.57</v>
      </c>
      <c r="H16" s="74">
        <f>'14'!D$27</f>
        <v>86.43</v>
      </c>
      <c r="I16" s="115" t="str">
        <f>"pounds of TN reduced
per "&amp;'BMP info'!E15&amp;"
per year"</f>
        <v>pounds of TN reduced
per acre
per year</v>
      </c>
      <c r="J16" s="83"/>
      <c r="K16" s="103">
        <f>'14'!D$34</f>
        <v>353</v>
      </c>
      <c r="L16" s="115" t="str">
        <f>"per "&amp;'BMP info'!E15&amp;"
per year"</f>
        <v>per acre
per year</v>
      </c>
      <c r="M16" s="83"/>
      <c r="N16" s="62">
        <f t="shared" si="0"/>
        <v>65.75070821529745</v>
      </c>
      <c r="O16" s="63">
        <f t="shared" si="1"/>
        <v>154.58923512747876</v>
      </c>
      <c r="P16" s="63">
        <f t="shared" si="2"/>
        <v>244.8441926345609</v>
      </c>
      <c r="Q16" s="115" t="s">
        <v>137</v>
      </c>
      <c r="R16" s="83"/>
      <c r="S16" s="108">
        <f t="shared" si="3"/>
        <v>4.0842300127270619</v>
      </c>
      <c r="T16" s="109">
        <f t="shared" si="4"/>
        <v>6.4687557265897011</v>
      </c>
      <c r="U16" s="109">
        <f t="shared" si="5"/>
        <v>15.208961654459284</v>
      </c>
      <c r="V16" s="115" t="s">
        <v>190</v>
      </c>
    </row>
    <row r="17" spans="1:22" ht="33.75">
      <c r="A17" s="8">
        <v>15</v>
      </c>
      <c r="B17" s="12" t="s">
        <v>60</v>
      </c>
      <c r="C17" s="71" t="s">
        <v>92</v>
      </c>
      <c r="D17" s="259" t="s">
        <v>93</v>
      </c>
      <c r="F17" s="73">
        <f>'15'!D$30</f>
        <v>16.71</v>
      </c>
      <c r="G17" s="74">
        <f>'15'!D$29</f>
        <v>25.19</v>
      </c>
      <c r="H17" s="74">
        <f>'15'!D$27</f>
        <v>59.44</v>
      </c>
      <c r="I17" s="115" t="str">
        <f>"pounds of TN reduced
per "&amp;'BMP info'!E16&amp;"
per year"</f>
        <v>pounds of TN reduced
per acre
per year</v>
      </c>
      <c r="J17" s="83"/>
      <c r="K17" s="103">
        <f>'15'!D$34</f>
        <v>210.56666666666666</v>
      </c>
      <c r="L17" s="115" t="str">
        <f>"per "&amp;'BMP info'!E16&amp;"
per year"</f>
        <v>per acre
per year</v>
      </c>
      <c r="M17" s="83"/>
      <c r="N17" s="62">
        <f t="shared" si="0"/>
        <v>79.357289852778223</v>
      </c>
      <c r="O17" s="63">
        <f t="shared" si="1"/>
        <v>119.62957099889188</v>
      </c>
      <c r="P17" s="63">
        <f t="shared" si="2"/>
        <v>282.28589520341933</v>
      </c>
      <c r="Q17" s="115" t="s">
        <v>137</v>
      </c>
      <c r="R17" s="83"/>
      <c r="S17" s="108">
        <f t="shared" si="3"/>
        <v>3.5425078510542845</v>
      </c>
      <c r="T17" s="109">
        <f t="shared" si="4"/>
        <v>8.3591372237660444</v>
      </c>
      <c r="U17" s="109">
        <f t="shared" si="5"/>
        <v>12.601236784360662</v>
      </c>
      <c r="V17" s="115" t="s">
        <v>190</v>
      </c>
    </row>
    <row r="18" spans="1:22" ht="33.75">
      <c r="A18" s="8">
        <v>16</v>
      </c>
      <c r="B18" s="12" t="s">
        <v>60</v>
      </c>
      <c r="C18" s="71" t="s">
        <v>96</v>
      </c>
      <c r="D18" s="259" t="s">
        <v>97</v>
      </c>
      <c r="F18" s="73">
        <f>'16'!D$30</f>
        <v>0</v>
      </c>
      <c r="G18" s="74">
        <f>'16'!D$29</f>
        <v>0</v>
      </c>
      <c r="H18" s="74">
        <f>'16'!D$27</f>
        <v>0</v>
      </c>
      <c r="I18" s="115" t="str">
        <f>"pounds of TN reduced
per "&amp;'BMP info'!E17&amp;"
per year"</f>
        <v>pounds of TN reduced
per acre
per year</v>
      </c>
      <c r="J18" s="83"/>
      <c r="K18" s="103">
        <f>'16'!D$34</f>
        <v>600</v>
      </c>
      <c r="L18" s="115" t="str">
        <f>"per "&amp;'BMP info'!E17&amp;"
per year"</f>
        <v>per acre
per year</v>
      </c>
      <c r="M18" s="83"/>
      <c r="N18" s="62">
        <f t="shared" si="0"/>
        <v>0</v>
      </c>
      <c r="O18" s="63">
        <f t="shared" si="1"/>
        <v>0</v>
      </c>
      <c r="P18" s="63">
        <f t="shared" si="2"/>
        <v>0</v>
      </c>
      <c r="Q18" s="115" t="s">
        <v>137</v>
      </c>
      <c r="R18" s="83"/>
      <c r="S18" s="108" t="str">
        <f t="shared" si="3"/>
        <v>-</v>
      </c>
      <c r="T18" s="109" t="str">
        <f t="shared" si="4"/>
        <v>-</v>
      </c>
      <c r="U18" s="109" t="str">
        <f t="shared" si="5"/>
        <v>-</v>
      </c>
      <c r="V18" s="115" t="s">
        <v>190</v>
      </c>
    </row>
    <row r="19" spans="1:22" ht="33.75">
      <c r="A19" s="8">
        <v>17</v>
      </c>
      <c r="B19" s="12" t="s">
        <v>60</v>
      </c>
      <c r="C19" s="71" t="s">
        <v>100</v>
      </c>
      <c r="D19" s="259" t="s">
        <v>101</v>
      </c>
      <c r="F19" s="73">
        <f>'17'!D$30</f>
        <v>4.92</v>
      </c>
      <c r="G19" s="74">
        <f>'17'!D$29</f>
        <v>11.57</v>
      </c>
      <c r="H19" s="74">
        <f>'17'!D$27</f>
        <v>24.22</v>
      </c>
      <c r="I19" s="115" t="str">
        <f>"pounds of TN reduced
per "&amp;'BMP info'!E18&amp;"
per year"</f>
        <v>pounds of TN reduced
per acre
per year</v>
      </c>
      <c r="J19" s="83"/>
      <c r="K19" s="103">
        <f>'17'!D$34</f>
        <v>158.2175</v>
      </c>
      <c r="L19" s="115" t="str">
        <f>"per "&amp;'BMP info'!E18&amp;"
per year"</f>
        <v>per acre
per year</v>
      </c>
      <c r="M19" s="83"/>
      <c r="N19" s="62">
        <f t="shared" si="0"/>
        <v>31.096433706764422</v>
      </c>
      <c r="O19" s="63">
        <f t="shared" si="1"/>
        <v>73.127182517736657</v>
      </c>
      <c r="P19" s="63">
        <f t="shared" si="2"/>
        <v>153.08041145890942</v>
      </c>
      <c r="Q19" s="115" t="s">
        <v>137</v>
      </c>
      <c r="R19" s="83"/>
      <c r="S19" s="108">
        <f t="shared" si="3"/>
        <v>6.5325144508670521</v>
      </c>
      <c r="T19" s="109">
        <f t="shared" si="4"/>
        <v>13.674805531547104</v>
      </c>
      <c r="U19" s="109">
        <f t="shared" si="5"/>
        <v>32.158028455284551</v>
      </c>
      <c r="V19" s="115" t="s">
        <v>190</v>
      </c>
    </row>
    <row r="20" spans="1:22" ht="33.75">
      <c r="A20" s="8">
        <v>18</v>
      </c>
      <c r="B20" s="12" t="s">
        <v>60</v>
      </c>
      <c r="C20" s="71" t="s">
        <v>102</v>
      </c>
      <c r="D20" s="259" t="s">
        <v>103</v>
      </c>
      <c r="F20" s="73">
        <f>'18'!D$30</f>
        <v>6.74</v>
      </c>
      <c r="G20" s="74">
        <f>'18'!D$29</f>
        <v>8.68</v>
      </c>
      <c r="H20" s="74">
        <f>'18'!D$27</f>
        <v>17.38</v>
      </c>
      <c r="I20" s="115" t="str">
        <f>"pounds of TN reduced
per "&amp;'BMP info'!E19&amp;"
per year"</f>
        <v>pounds of TN reduced
per acre
per year</v>
      </c>
      <c r="J20" s="83"/>
      <c r="K20" s="103">
        <f>'18'!D$34</f>
        <v>158.2175</v>
      </c>
      <c r="L20" s="115" t="str">
        <f>"per "&amp;'BMP info'!E19&amp;"
per year"</f>
        <v>per acre
per year</v>
      </c>
      <c r="M20" s="83"/>
      <c r="N20" s="62">
        <f t="shared" si="0"/>
        <v>42.599586012925243</v>
      </c>
      <c r="O20" s="63">
        <f t="shared" si="1"/>
        <v>54.861187921690075</v>
      </c>
      <c r="P20" s="63">
        <f t="shared" si="2"/>
        <v>109.84878411048082</v>
      </c>
      <c r="Q20" s="115" t="s">
        <v>137</v>
      </c>
      <c r="R20" s="83"/>
      <c r="S20" s="108">
        <f t="shared" si="3"/>
        <v>9.1034234752589196</v>
      </c>
      <c r="T20" s="109">
        <f t="shared" si="4"/>
        <v>18.227822580645164</v>
      </c>
      <c r="U20" s="109">
        <f t="shared" si="5"/>
        <v>23.47440652818991</v>
      </c>
      <c r="V20" s="115" t="s">
        <v>190</v>
      </c>
    </row>
    <row r="21" spans="1:22" ht="33.75">
      <c r="A21" s="8">
        <v>19</v>
      </c>
      <c r="B21" s="12" t="s">
        <v>60</v>
      </c>
      <c r="C21" s="71" t="s">
        <v>256</v>
      </c>
      <c r="D21" s="259" t="s">
        <v>85</v>
      </c>
      <c r="F21" s="73">
        <f>'19'!D$30</f>
        <v>2.1985366570550267</v>
      </c>
      <c r="G21" s="74">
        <f>'19'!D$29</f>
        <v>3.6077063680721495</v>
      </c>
      <c r="H21" s="74">
        <f>'19'!D$27</f>
        <v>7.1900942197065314</v>
      </c>
      <c r="I21" s="115" t="str">
        <f>"pounds of TN reduced
per "&amp;'BMP info'!E20&amp;"
per year"</f>
        <v>pounds of TN reduced
per acre
per year</v>
      </c>
      <c r="J21" s="83"/>
      <c r="K21" s="103">
        <f>'19'!D$34</f>
        <v>56</v>
      </c>
      <c r="L21" s="115" t="str">
        <f>"per "&amp;'BMP info'!E20&amp;"
per year"</f>
        <v>per acre
per year</v>
      </c>
      <c r="M21" s="83"/>
      <c r="N21" s="62">
        <f t="shared" si="0"/>
        <v>39.259583161696909</v>
      </c>
      <c r="O21" s="63">
        <f t="shared" si="1"/>
        <v>64.423328001288382</v>
      </c>
      <c r="P21" s="63">
        <f t="shared" si="2"/>
        <v>128.39453963761665</v>
      </c>
      <c r="Q21" s="115" t="s">
        <v>137</v>
      </c>
      <c r="R21" s="83"/>
      <c r="S21" s="108">
        <f t="shared" si="3"/>
        <v>7.7884932086864476</v>
      </c>
      <c r="T21" s="109">
        <f t="shared" si="4"/>
        <v>15.52232756401534</v>
      </c>
      <c r="U21" s="109">
        <f t="shared" si="5"/>
        <v>25.471487964641376</v>
      </c>
      <c r="V21" s="115" t="s">
        <v>190</v>
      </c>
    </row>
    <row r="22" spans="1:22" ht="33.75">
      <c r="A22" s="8">
        <v>20</v>
      </c>
      <c r="B22" s="12" t="s">
        <v>60</v>
      </c>
      <c r="C22" s="71" t="s">
        <v>104</v>
      </c>
      <c r="D22" s="259" t="s">
        <v>105</v>
      </c>
      <c r="F22" s="73">
        <f>'20'!D$30</f>
        <v>4.47</v>
      </c>
      <c r="G22" s="74">
        <f>'20'!D$29</f>
        <v>25.69</v>
      </c>
      <c r="H22" s="74">
        <f>'20'!D$27</f>
        <v>517.70000000000005</v>
      </c>
      <c r="I22" s="115" t="str">
        <f>"pounds of TN reduced
per "&amp;'BMP info'!E21&amp;"
per year"</f>
        <v>pounds of TN reduced
per acre
per year</v>
      </c>
      <c r="J22" s="83"/>
      <c r="K22" s="103">
        <f>'20'!D$34</f>
        <v>1190.0999999999999</v>
      </c>
      <c r="L22" s="115" t="str">
        <f>"per "&amp;'BMP info'!E21&amp;"
per year"</f>
        <v>per acre
per year</v>
      </c>
      <c r="M22" s="83"/>
      <c r="N22" s="62">
        <f t="shared" si="0"/>
        <v>3.7559868918578272</v>
      </c>
      <c r="O22" s="63">
        <f t="shared" si="1"/>
        <v>21.586421309133687</v>
      </c>
      <c r="P22" s="63">
        <f t="shared" si="2"/>
        <v>435.00546172590549</v>
      </c>
      <c r="Q22" s="115" t="s">
        <v>137</v>
      </c>
      <c r="R22" s="83"/>
      <c r="S22" s="108">
        <f t="shared" si="3"/>
        <v>2.2988217114158775</v>
      </c>
      <c r="T22" s="109">
        <f t="shared" si="4"/>
        <v>46.325418450759045</v>
      </c>
      <c r="U22" s="109">
        <f t="shared" si="5"/>
        <v>266.24161073825502</v>
      </c>
      <c r="V22" s="115" t="s">
        <v>190</v>
      </c>
    </row>
    <row r="23" spans="1:22" ht="33.75">
      <c r="A23" s="8">
        <v>21</v>
      </c>
      <c r="B23" s="12" t="s">
        <v>60</v>
      </c>
      <c r="C23" s="71" t="s">
        <v>106</v>
      </c>
      <c r="D23" s="259" t="s">
        <v>107</v>
      </c>
      <c r="F23" s="69">
        <f>'21'!D$30</f>
        <v>0</v>
      </c>
      <c r="G23" s="70">
        <f>'21'!D$29</f>
        <v>0</v>
      </c>
      <c r="H23" s="70">
        <f>'21'!D$27</f>
        <v>0</v>
      </c>
      <c r="I23" s="115" t="str">
        <f>"pounds of TN reduced
per "&amp;'BMP info'!E22&amp;"
per year"</f>
        <v>pounds of TN reduced
per animal unit
per year</v>
      </c>
      <c r="J23" s="83"/>
      <c r="K23" s="104">
        <f>'21'!D$34</f>
        <v>1</v>
      </c>
      <c r="L23" s="115" t="str">
        <f>"per "&amp;'BMP info'!E22&amp;"
per year"</f>
        <v>per animal unit
per year</v>
      </c>
      <c r="M23" s="83"/>
      <c r="N23" s="76">
        <f t="shared" si="0"/>
        <v>0</v>
      </c>
      <c r="O23" s="77">
        <f t="shared" si="1"/>
        <v>0</v>
      </c>
      <c r="P23" s="77">
        <f t="shared" si="2"/>
        <v>0</v>
      </c>
      <c r="Q23" s="115" t="s">
        <v>137</v>
      </c>
      <c r="R23" s="83"/>
      <c r="S23" s="106" t="str">
        <f t="shared" si="3"/>
        <v>-</v>
      </c>
      <c r="T23" s="107" t="str">
        <f t="shared" si="4"/>
        <v>-</v>
      </c>
      <c r="U23" s="107" t="str">
        <f t="shared" si="5"/>
        <v>-</v>
      </c>
      <c r="V23" s="115" t="s">
        <v>190</v>
      </c>
    </row>
    <row r="24" spans="1:22" ht="33.75">
      <c r="A24" s="8">
        <v>22</v>
      </c>
      <c r="B24" s="12" t="s">
        <v>60</v>
      </c>
      <c r="C24" s="71" t="s">
        <v>64</v>
      </c>
      <c r="D24" s="259" t="s">
        <v>108</v>
      </c>
      <c r="F24" s="73">
        <f>'22'!D$30</f>
        <v>1.83E-2</v>
      </c>
      <c r="G24" s="74">
        <f>'22'!D$29</f>
        <v>1.95E-2</v>
      </c>
      <c r="H24" s="74">
        <f>'22'!D$27</f>
        <v>2.1299999999999999E-2</v>
      </c>
      <c r="I24" s="115" t="str">
        <f>"pounds of TN reduced
per "&amp;'BMP info'!E23&amp;"
per year"</f>
        <v>pounds of TN reduced
per foot
per year</v>
      </c>
      <c r="J24" s="83"/>
      <c r="K24" s="104">
        <f>'22'!D$34</f>
        <v>6.6886666666666663</v>
      </c>
      <c r="L24" s="115" t="str">
        <f>"per "&amp;'BMP info'!E23&amp;"
per year"</f>
        <v>per foot
per year</v>
      </c>
      <c r="M24" s="83"/>
      <c r="N24" s="62">
        <f t="shared" si="0"/>
        <v>2.7359712947274</v>
      </c>
      <c r="O24" s="63">
        <f t="shared" si="1"/>
        <v>2.9153792484800163</v>
      </c>
      <c r="P24" s="63">
        <f t="shared" si="2"/>
        <v>3.184491179108941</v>
      </c>
      <c r="Q24" s="115" t="s">
        <v>137</v>
      </c>
      <c r="R24" s="83"/>
      <c r="S24" s="108">
        <f t="shared" si="3"/>
        <v>314.02190923317681</v>
      </c>
      <c r="T24" s="109">
        <f t="shared" si="4"/>
        <v>343.008547008547</v>
      </c>
      <c r="U24" s="109">
        <f t="shared" si="5"/>
        <v>365.50091074681234</v>
      </c>
      <c r="V24" s="115" t="s">
        <v>190</v>
      </c>
    </row>
    <row r="25" spans="1:22" ht="33.75">
      <c r="A25" s="8">
        <v>23</v>
      </c>
      <c r="B25" s="12" t="s">
        <v>60</v>
      </c>
      <c r="C25" s="71" t="s">
        <v>109</v>
      </c>
      <c r="D25" s="259" t="s">
        <v>110</v>
      </c>
      <c r="F25" s="73">
        <f>'23'!D$30</f>
        <v>0.11</v>
      </c>
      <c r="G25" s="74">
        <f>'23'!D$29</f>
        <v>0.21</v>
      </c>
      <c r="H25" s="74">
        <f>'23'!D$27</f>
        <v>1.08</v>
      </c>
      <c r="I25" s="115" t="str">
        <f>"pounds of TN reduced
per "&amp;'BMP info'!E24&amp;"
per year"</f>
        <v>pounds of TN reduced
per acre
per year</v>
      </c>
      <c r="J25" s="83"/>
      <c r="K25" s="104">
        <f>'23'!D$34</f>
        <v>7</v>
      </c>
      <c r="L25" s="115" t="str">
        <f>"per "&amp;'BMP info'!E24&amp;"
per year"</f>
        <v>per acre
per year</v>
      </c>
      <c r="M25" s="83"/>
      <c r="N25" s="62">
        <f t="shared" si="0"/>
        <v>15.714285714285714</v>
      </c>
      <c r="O25" s="63">
        <f t="shared" si="1"/>
        <v>30</v>
      </c>
      <c r="P25" s="63">
        <f t="shared" si="2"/>
        <v>154.28571428571428</v>
      </c>
      <c r="Q25" s="115" t="s">
        <v>137</v>
      </c>
      <c r="R25" s="83"/>
      <c r="S25" s="108">
        <f t="shared" si="3"/>
        <v>6.481481481481481</v>
      </c>
      <c r="T25" s="109">
        <f t="shared" si="4"/>
        <v>33.333333333333336</v>
      </c>
      <c r="U25" s="109">
        <f t="shared" si="5"/>
        <v>63.636363636363633</v>
      </c>
      <c r="V25" s="115" t="s">
        <v>190</v>
      </c>
    </row>
    <row r="26" spans="1:22" ht="33.75">
      <c r="A26" s="8">
        <v>24</v>
      </c>
      <c r="B26" s="12" t="s">
        <v>60</v>
      </c>
      <c r="C26" s="71" t="s">
        <v>111</v>
      </c>
      <c r="D26" s="259" t="s">
        <v>112</v>
      </c>
      <c r="F26" s="73">
        <f>'24'!D$30</f>
        <v>0.18</v>
      </c>
      <c r="G26" s="74">
        <f>'24'!D$29</f>
        <v>0.37</v>
      </c>
      <c r="H26" s="74">
        <f>'24'!D$27</f>
        <v>0.75</v>
      </c>
      <c r="I26" s="115" t="str">
        <f>"pounds of TN reduced
per "&amp;'BMP info'!E25&amp;"
per year"</f>
        <v>pounds of TN reduced
per acre
per year</v>
      </c>
      <c r="J26" s="83"/>
      <c r="K26" s="104">
        <f>'24'!D$34</f>
        <v>82.667000000000002</v>
      </c>
      <c r="L26" s="115" t="str">
        <f>"per "&amp;'BMP info'!E25&amp;"
per year"</f>
        <v>per acre
per year</v>
      </c>
      <c r="M26" s="83"/>
      <c r="N26" s="62">
        <f t="shared" si="0"/>
        <v>2.1774105749573591</v>
      </c>
      <c r="O26" s="63">
        <f t="shared" si="1"/>
        <v>4.4757884040790161</v>
      </c>
      <c r="P26" s="63">
        <f t="shared" si="2"/>
        <v>9.0725440623223292</v>
      </c>
      <c r="Q26" s="115" t="s">
        <v>137</v>
      </c>
      <c r="R26" s="83"/>
      <c r="S26" s="108">
        <f t="shared" si="3"/>
        <v>110.22266666666667</v>
      </c>
      <c r="T26" s="109">
        <f t="shared" si="4"/>
        <v>223.42432432432435</v>
      </c>
      <c r="U26" s="109">
        <f t="shared" si="5"/>
        <v>459.26111111111112</v>
      </c>
      <c r="V26" s="115" t="s">
        <v>190</v>
      </c>
    </row>
    <row r="27" spans="1:22" ht="33.75">
      <c r="A27" s="8">
        <v>25</v>
      </c>
      <c r="B27" s="12" t="s">
        <v>60</v>
      </c>
      <c r="C27" s="71" t="s">
        <v>126</v>
      </c>
      <c r="D27" s="259" t="s">
        <v>127</v>
      </c>
      <c r="F27" s="73">
        <f>'25'!D$30</f>
        <v>39.71</v>
      </c>
      <c r="G27" s="74">
        <f>'25'!D$29</f>
        <v>109.41</v>
      </c>
      <c r="H27" s="74">
        <f>'25'!D$27</f>
        <v>204.68</v>
      </c>
      <c r="I27" s="115" t="str">
        <f>"pounds of TN reduced
per "&amp;'BMP info'!E26&amp;"
per year"</f>
        <v>pounds of TN reduced
per acre
per year</v>
      </c>
      <c r="J27" s="83"/>
      <c r="K27" s="104">
        <f>'25'!D$34</f>
        <v>93.1</v>
      </c>
      <c r="L27" s="115" t="str">
        <f>"per "&amp;'BMP info'!E26&amp;"
per year"</f>
        <v>per acre
per year</v>
      </c>
      <c r="M27" s="83"/>
      <c r="N27" s="62">
        <f t="shared" si="0"/>
        <v>426.53061224489801</v>
      </c>
      <c r="O27" s="63">
        <f t="shared" si="1"/>
        <v>1175.187969924812</v>
      </c>
      <c r="P27" s="63">
        <f t="shared" si="2"/>
        <v>2198.4962406015038</v>
      </c>
      <c r="Q27" s="115" t="s">
        <v>137</v>
      </c>
      <c r="R27" s="83"/>
      <c r="S27" s="108">
        <f t="shared" si="3"/>
        <v>0.45485636114911077</v>
      </c>
      <c r="T27" s="109">
        <f t="shared" si="4"/>
        <v>0.85092770313499677</v>
      </c>
      <c r="U27" s="109">
        <f t="shared" si="5"/>
        <v>2.3444976076555024</v>
      </c>
      <c r="V27" s="115" t="s">
        <v>190</v>
      </c>
    </row>
    <row r="28" spans="1:22" ht="33.75">
      <c r="A28" s="8">
        <v>26</v>
      </c>
      <c r="B28" s="12" t="s">
        <v>60</v>
      </c>
      <c r="C28" s="71" t="s">
        <v>257</v>
      </c>
      <c r="D28" s="259" t="s">
        <v>114</v>
      </c>
      <c r="F28" s="73">
        <f>'26'!D$30</f>
        <v>1.7885421129379482</v>
      </c>
      <c r="G28" s="74">
        <f>'26'!D$29</f>
        <v>3.2374379601818966</v>
      </c>
      <c r="H28" s="74">
        <f>'26'!D$27</f>
        <v>4.9987381554821839</v>
      </c>
      <c r="I28" s="115" t="str">
        <f>"pounds of TN reduced
per "&amp;'BMP info'!E27&amp;"
per year"</f>
        <v>pounds of TN reduced
per acre
per year</v>
      </c>
      <c r="J28" s="83"/>
      <c r="K28" s="104">
        <f>'26'!D$34</f>
        <v>23.33</v>
      </c>
      <c r="L28" s="115" t="str">
        <f>"per "&amp;'BMP info'!E27&amp;"
per year"</f>
        <v>per acre
per year</v>
      </c>
      <c r="M28" s="83"/>
      <c r="N28" s="62">
        <f t="shared" si="0"/>
        <v>76.662756662578147</v>
      </c>
      <c r="O28" s="63">
        <f t="shared" si="1"/>
        <v>138.76716503137149</v>
      </c>
      <c r="P28" s="63">
        <f t="shared" si="2"/>
        <v>214.26224412696891</v>
      </c>
      <c r="Q28" s="115" t="s">
        <v>137</v>
      </c>
      <c r="R28" s="83"/>
      <c r="S28" s="108">
        <f t="shared" si="3"/>
        <v>4.6671778505568788</v>
      </c>
      <c r="T28" s="109">
        <f t="shared" si="4"/>
        <v>7.2063156999274804</v>
      </c>
      <c r="U28" s="109">
        <f t="shared" si="5"/>
        <v>13.044143512884347</v>
      </c>
      <c r="V28" s="115" t="s">
        <v>190</v>
      </c>
    </row>
    <row r="29" spans="1:22" ht="33.75">
      <c r="A29" s="8">
        <v>27</v>
      </c>
      <c r="B29" s="12" t="s">
        <v>60</v>
      </c>
      <c r="C29" s="71" t="s">
        <v>117</v>
      </c>
      <c r="D29" s="259" t="s">
        <v>118</v>
      </c>
      <c r="F29" s="69">
        <f>'27'!D$30</f>
        <v>0</v>
      </c>
      <c r="G29" s="70">
        <f>'27'!D$29</f>
        <v>0</v>
      </c>
      <c r="H29" s="70">
        <f>'27'!D$27</f>
        <v>0</v>
      </c>
      <c r="I29" s="115" t="str">
        <f>"pounds of TN reduced
per "&amp;'BMP info'!E28&amp;"
per year"</f>
        <v>pounds of TN reduced
per animal unit
per year</v>
      </c>
      <c r="J29" s="83"/>
      <c r="K29" s="104">
        <f>'27'!D$34</f>
        <v>0.83</v>
      </c>
      <c r="L29" s="115" t="str">
        <f>"per "&amp;'BMP info'!E28&amp;"
per year"</f>
        <v>per animal unit
per year</v>
      </c>
      <c r="M29" s="83"/>
      <c r="N29" s="76">
        <f t="shared" si="0"/>
        <v>0</v>
      </c>
      <c r="O29" s="77">
        <f t="shared" si="1"/>
        <v>0</v>
      </c>
      <c r="P29" s="77">
        <f t="shared" si="2"/>
        <v>0</v>
      </c>
      <c r="Q29" s="115" t="s">
        <v>137</v>
      </c>
      <c r="R29" s="83"/>
      <c r="S29" s="106" t="str">
        <f t="shared" si="3"/>
        <v>-</v>
      </c>
      <c r="T29" s="107" t="str">
        <f t="shared" si="4"/>
        <v>-</v>
      </c>
      <c r="U29" s="107" t="str">
        <f t="shared" si="5"/>
        <v>-</v>
      </c>
      <c r="V29" s="115" t="s">
        <v>190</v>
      </c>
    </row>
    <row r="30" spans="1:22" ht="33.75">
      <c r="A30" s="8">
        <v>28</v>
      </c>
      <c r="B30" s="12" t="s">
        <v>60</v>
      </c>
      <c r="C30" s="71" t="s">
        <v>121</v>
      </c>
      <c r="D30" s="259" t="s">
        <v>122</v>
      </c>
      <c r="F30" s="73">
        <f>'28'!D$30</f>
        <v>0.3</v>
      </c>
      <c r="G30" s="74">
        <f>'28'!D$29</f>
        <v>1.05</v>
      </c>
      <c r="H30" s="74">
        <f>'28'!D$27</f>
        <v>1.6</v>
      </c>
      <c r="I30" s="115" t="str">
        <f>"pounds of TN reduced
per "&amp;'BMP info'!E29&amp;"
per year"</f>
        <v>pounds of TN reduced
per acre
per year</v>
      </c>
      <c r="J30" s="83"/>
      <c r="K30" s="103">
        <f>'28'!D$34</f>
        <v>600</v>
      </c>
      <c r="L30" s="115" t="str">
        <f>"per "&amp;'BMP info'!E29&amp;"
per year"</f>
        <v>per acre
per year</v>
      </c>
      <c r="M30" s="83"/>
      <c r="N30" s="62">
        <f t="shared" si="0"/>
        <v>0.5</v>
      </c>
      <c r="O30" s="63">
        <f t="shared" si="1"/>
        <v>1.75</v>
      </c>
      <c r="P30" s="63">
        <f t="shared" si="2"/>
        <v>2.6666666666666665</v>
      </c>
      <c r="Q30" s="115" t="s">
        <v>137</v>
      </c>
      <c r="R30" s="83"/>
      <c r="S30" s="108">
        <f t="shared" si="3"/>
        <v>375</v>
      </c>
      <c r="T30" s="109">
        <f t="shared" si="4"/>
        <v>571.42857142857144</v>
      </c>
      <c r="U30" s="109">
        <f t="shared" si="5"/>
        <v>2000</v>
      </c>
      <c r="V30" s="115" t="s">
        <v>190</v>
      </c>
    </row>
    <row r="31" spans="1:22" ht="33.75">
      <c r="A31" s="8">
        <v>29</v>
      </c>
      <c r="B31" s="12" t="s">
        <v>60</v>
      </c>
      <c r="C31" s="71" t="s">
        <v>142</v>
      </c>
      <c r="D31" s="259" t="s">
        <v>17</v>
      </c>
      <c r="F31" s="73">
        <f>'29'!D$30</f>
        <v>0.06</v>
      </c>
      <c r="G31" s="74">
        <f>'29'!D$29</f>
        <v>3.39</v>
      </c>
      <c r="H31" s="74">
        <f>'29'!D$27</f>
        <v>4.55</v>
      </c>
      <c r="I31" s="115" t="str">
        <f>"pounds of TN reduced
per "&amp;'BMP info'!E30&amp;"
per year"</f>
        <v>pounds of TN reduced
per acre
per year</v>
      </c>
      <c r="J31" s="83"/>
      <c r="K31" s="103">
        <f>'29'!D$34</f>
        <v>163.80000000000001</v>
      </c>
      <c r="L31" s="115" t="str">
        <f>"per "&amp;'BMP info'!E30&amp;"
per year"</f>
        <v>per acre
per year</v>
      </c>
      <c r="M31" s="83"/>
      <c r="N31" s="62">
        <f t="shared" si="0"/>
        <v>0.36630036630036628</v>
      </c>
      <c r="O31" s="63">
        <f t="shared" si="1"/>
        <v>20.695970695970693</v>
      </c>
      <c r="P31" s="63">
        <f t="shared" si="2"/>
        <v>27.777777777777775</v>
      </c>
      <c r="Q31" s="115" t="s">
        <v>137</v>
      </c>
      <c r="R31" s="83"/>
      <c r="S31" s="108">
        <f t="shared" si="3"/>
        <v>36.000000000000007</v>
      </c>
      <c r="T31" s="109">
        <f t="shared" si="4"/>
        <v>48.318584070796462</v>
      </c>
      <c r="U31" s="109">
        <f t="shared" si="5"/>
        <v>2730.0000000000005</v>
      </c>
      <c r="V31" s="115" t="s">
        <v>190</v>
      </c>
    </row>
    <row r="32" spans="1:22" ht="33.75">
      <c r="A32" s="8">
        <v>30</v>
      </c>
      <c r="B32" s="12" t="s">
        <v>60</v>
      </c>
      <c r="C32" s="71" t="s">
        <v>119</v>
      </c>
      <c r="D32" s="259" t="s">
        <v>120</v>
      </c>
      <c r="F32" s="73">
        <f>'30'!D$30</f>
        <v>0.36</v>
      </c>
      <c r="G32" s="74">
        <f>'30'!D$29</f>
        <v>1.41</v>
      </c>
      <c r="H32" s="74">
        <f>'30'!D$27</f>
        <v>1.66</v>
      </c>
      <c r="I32" s="115" t="str">
        <f>"pounds of TN reduced
per "&amp;'BMP info'!E31&amp;"
per year"</f>
        <v>pounds of TN reduced
per acre
per year</v>
      </c>
      <c r="J32" s="83"/>
      <c r="K32" s="103">
        <f>'30'!D$34</f>
        <v>600</v>
      </c>
      <c r="L32" s="115" t="str">
        <f>"per "&amp;'BMP info'!E31&amp;"
per year"</f>
        <v>per acre
per year</v>
      </c>
      <c r="M32" s="83"/>
      <c r="N32" s="62">
        <f t="shared" si="0"/>
        <v>0.6</v>
      </c>
      <c r="O32" s="63">
        <f t="shared" si="1"/>
        <v>2.35</v>
      </c>
      <c r="P32" s="63">
        <f t="shared" si="2"/>
        <v>2.7666666666666666</v>
      </c>
      <c r="Q32" s="115" t="s">
        <v>137</v>
      </c>
      <c r="R32" s="83"/>
      <c r="S32" s="108">
        <f t="shared" si="3"/>
        <v>361.44578313253015</v>
      </c>
      <c r="T32" s="109">
        <f t="shared" si="4"/>
        <v>425.53191489361706</v>
      </c>
      <c r="U32" s="109">
        <f t="shared" si="5"/>
        <v>1666.6666666666667</v>
      </c>
      <c r="V32" s="115" t="s">
        <v>190</v>
      </c>
    </row>
    <row r="33" spans="1:22" ht="33.75">
      <c r="A33" s="8">
        <v>31</v>
      </c>
      <c r="B33" s="12" t="s">
        <v>60</v>
      </c>
      <c r="C33" s="71" t="s">
        <v>18</v>
      </c>
      <c r="D33" s="259" t="s">
        <v>19</v>
      </c>
      <c r="F33" s="73">
        <f>'31'!D$30</f>
        <v>2.4488636886944368</v>
      </c>
      <c r="G33" s="74">
        <f>'31'!D$29</f>
        <v>4.2579031287216589</v>
      </c>
      <c r="H33" s="74">
        <f>'31'!D$27</f>
        <v>6.4891796229265761</v>
      </c>
      <c r="I33" s="115" t="str">
        <f>"pounds of TN reduced
per "&amp;'BMP info'!E32&amp;"
per year"</f>
        <v>pounds of TN reduced
per acre
per year</v>
      </c>
      <c r="J33" s="83"/>
      <c r="K33" s="103">
        <f>'31'!D$34</f>
        <v>52</v>
      </c>
      <c r="L33" s="115" t="str">
        <f>"per "&amp;'BMP info'!E32&amp;"
per year"</f>
        <v>per acre
per year</v>
      </c>
      <c r="M33" s="83"/>
      <c r="N33" s="62">
        <f t="shared" si="0"/>
        <v>47.093532474893017</v>
      </c>
      <c r="O33" s="63">
        <f t="shared" si="1"/>
        <v>81.88275247541651</v>
      </c>
      <c r="P33" s="63">
        <f t="shared" si="2"/>
        <v>124.79191582551108</v>
      </c>
      <c r="Q33" s="115" t="s">
        <v>137</v>
      </c>
      <c r="R33" s="83"/>
      <c r="S33" s="108">
        <f t="shared" si="3"/>
        <v>8.0133395932332583</v>
      </c>
      <c r="T33" s="109">
        <f t="shared" si="4"/>
        <v>12.212584088452912</v>
      </c>
      <c r="U33" s="109">
        <f t="shared" si="5"/>
        <v>21.234338293334233</v>
      </c>
      <c r="V33" s="115" t="s">
        <v>190</v>
      </c>
    </row>
    <row r="34" spans="1:22" ht="33.75">
      <c r="A34" s="8">
        <v>32</v>
      </c>
      <c r="B34" s="12" t="s">
        <v>60</v>
      </c>
      <c r="C34" s="71" t="s">
        <v>20</v>
      </c>
      <c r="D34" s="259" t="s">
        <v>168</v>
      </c>
      <c r="F34" s="73">
        <f>'32'!D$30</f>
        <v>8.06</v>
      </c>
      <c r="G34" s="74">
        <f>'32'!D$29</f>
        <v>11.26</v>
      </c>
      <c r="H34" s="74">
        <f>'32'!D$27</f>
        <v>32.130000000000003</v>
      </c>
      <c r="I34" s="115" t="str">
        <f>"pounds of TN reduced
per "&amp;'BMP info'!E33&amp;"
per year"</f>
        <v>pounds of TN reduced
per acre
per year</v>
      </c>
      <c r="J34" s="83"/>
      <c r="K34" s="103">
        <f>'32'!D$34</f>
        <v>231.42222222222222</v>
      </c>
      <c r="L34" s="115" t="str">
        <f>"per "&amp;'BMP info'!E33&amp;"
per year"</f>
        <v>per acre
per year</v>
      </c>
      <c r="M34" s="83"/>
      <c r="N34" s="62">
        <f t="shared" si="0"/>
        <v>34.828115997695413</v>
      </c>
      <c r="O34" s="63">
        <f t="shared" si="1"/>
        <v>48.655655847897066</v>
      </c>
      <c r="P34" s="63">
        <f t="shared" si="2"/>
        <v>138.83714230843097</v>
      </c>
      <c r="Q34" s="115" t="s">
        <v>137</v>
      </c>
      <c r="R34" s="83"/>
      <c r="S34" s="108">
        <f t="shared" si="3"/>
        <v>7.2026835425528226</v>
      </c>
      <c r="T34" s="109">
        <f t="shared" si="4"/>
        <v>20.55259522399842</v>
      </c>
      <c r="U34" s="109">
        <f t="shared" si="5"/>
        <v>28.712434518886131</v>
      </c>
      <c r="V34" s="115" t="s">
        <v>190</v>
      </c>
    </row>
    <row r="35" spans="1:22" ht="33.75">
      <c r="A35" s="8">
        <v>33</v>
      </c>
      <c r="B35" s="14" t="s">
        <v>57</v>
      </c>
      <c r="C35" s="71" t="s">
        <v>58</v>
      </c>
      <c r="D35" s="260" t="s">
        <v>59</v>
      </c>
      <c r="F35" s="73">
        <f>'33'!D$30</f>
        <v>0.53181208714304984</v>
      </c>
      <c r="G35" s="74">
        <f>'33'!D$29</f>
        <v>2.2060430632219532</v>
      </c>
      <c r="H35" s="74">
        <f>'33'!D$27</f>
        <v>4.4730482213454197</v>
      </c>
      <c r="I35" s="115" t="str">
        <f>"pounds of TN reduced
per "&amp;'BMP info'!E34&amp;"
per year"</f>
        <v>pounds of TN reduced
per ton
per year</v>
      </c>
      <c r="J35" s="83"/>
      <c r="K35" s="104">
        <f>'33'!D$34</f>
        <v>20.5</v>
      </c>
      <c r="L35" s="115" t="str">
        <f>"per "&amp;'BMP info'!E34&amp;"
per year"</f>
        <v>per ton
per year</v>
      </c>
      <c r="M35" s="83"/>
      <c r="N35" s="62">
        <f t="shared" ref="N35:P36" si="6">IF($K35=0,"-",1000*F35/$K35)</f>
        <v>25.942053031368289</v>
      </c>
      <c r="O35" s="63">
        <f t="shared" si="6"/>
        <v>107.6118567425343</v>
      </c>
      <c r="P35" s="63">
        <f t="shared" si="6"/>
        <v>218.1974742119717</v>
      </c>
      <c r="Q35" s="115" t="s">
        <v>137</v>
      </c>
      <c r="R35" s="83"/>
      <c r="S35" s="108">
        <f t="shared" ref="S35:S52" si="7">IF($K35*H35=0,"-",$K35/H35)</f>
        <v>4.5830044715757472</v>
      </c>
      <c r="T35" s="109">
        <f t="shared" ref="T35:T52" si="8">IF($K35*G35=0,"-",$K35/G35)</f>
        <v>9.2926563138162397</v>
      </c>
      <c r="U35" s="109">
        <f t="shared" ref="U35:U52" si="9">IF($K35*F35=0,"-",$K35/F35)</f>
        <v>38.547450303599049</v>
      </c>
      <c r="V35" s="115" t="s">
        <v>190</v>
      </c>
    </row>
    <row r="36" spans="1:22" ht="33.75">
      <c r="A36" s="8">
        <v>34</v>
      </c>
      <c r="B36" s="13" t="s">
        <v>70</v>
      </c>
      <c r="C36" s="71" t="s">
        <v>47</v>
      </c>
      <c r="D36" s="259" t="s">
        <v>48</v>
      </c>
      <c r="F36" s="73">
        <f>'34'!D$30</f>
        <v>6.97</v>
      </c>
      <c r="G36" s="74">
        <f>'34'!D$29</f>
        <v>8.31</v>
      </c>
      <c r="H36" s="74">
        <f>'34'!D$27</f>
        <v>26.46</v>
      </c>
      <c r="I36" s="115" t="str">
        <f>"pounds of TN reduced
per "&amp;'BMP info'!E35&amp;"
per year"</f>
        <v>pounds of TN reduced
per acre
per year</v>
      </c>
      <c r="J36" s="83"/>
      <c r="K36" s="104">
        <f>'34'!D$34</f>
        <v>45</v>
      </c>
      <c r="L36" s="115" t="str">
        <f>"per "&amp;'BMP info'!E35&amp;"
per year"</f>
        <v>per acre
per year</v>
      </c>
      <c r="M36" s="83"/>
      <c r="N36" s="84">
        <f t="shared" si="6"/>
        <v>154.88888888888889</v>
      </c>
      <c r="O36" s="85">
        <f t="shared" si="6"/>
        <v>184.66666666666666</v>
      </c>
      <c r="P36" s="85">
        <f t="shared" si="6"/>
        <v>588</v>
      </c>
      <c r="Q36" s="115" t="s">
        <v>137</v>
      </c>
      <c r="R36" s="83"/>
      <c r="S36" s="110">
        <f t="shared" si="7"/>
        <v>1.7006802721088434</v>
      </c>
      <c r="T36" s="111">
        <f t="shared" si="8"/>
        <v>5.4151624548736459</v>
      </c>
      <c r="U36" s="111">
        <f t="shared" si="9"/>
        <v>6.4562410329985651</v>
      </c>
      <c r="V36" s="115" t="s">
        <v>190</v>
      </c>
    </row>
    <row r="37" spans="1:22" ht="33.75">
      <c r="A37" s="8">
        <v>35</v>
      </c>
      <c r="B37" s="67" t="s">
        <v>61</v>
      </c>
      <c r="C37" s="71" t="s">
        <v>62</v>
      </c>
      <c r="D37" s="259" t="s">
        <v>63</v>
      </c>
      <c r="F37" s="73">
        <f>'35'!D$30</f>
        <v>1949</v>
      </c>
      <c r="G37" s="74">
        <f>'35'!D$29</f>
        <v>9198</v>
      </c>
      <c r="H37" s="74">
        <f>'35'!D$27</f>
        <v>44648</v>
      </c>
      <c r="I37" s="115" t="str">
        <f>"pounds of TN reduced
per "&amp;'BMP info'!E36&amp;"
per year"</f>
        <v>pounds of TN reduced
per MGD
per year</v>
      </c>
      <c r="J37" s="83"/>
      <c r="K37" s="104">
        <f>'35'!D$34</f>
        <v>395200</v>
      </c>
      <c r="L37" s="115" t="str">
        <f>"per "&amp;'BMP info'!E36&amp;"
per year"</f>
        <v>per MGD
per year</v>
      </c>
      <c r="M37" s="83"/>
      <c r="N37" s="84">
        <f t="shared" ref="N37:N52" si="10">IF($K37=0,"-",1000*F37/$K37)</f>
        <v>4.9316801619433202</v>
      </c>
      <c r="O37" s="85">
        <f t="shared" ref="O37:O52" si="11">IF($K37=0,"-",1000*G37/$K37)</f>
        <v>23.274291497975707</v>
      </c>
      <c r="P37" s="85">
        <f t="shared" ref="P37:P52" si="12">IF($K37=0,"-",1000*H37/$K37)</f>
        <v>112.97570850202429</v>
      </c>
      <c r="Q37" s="115" t="s">
        <v>137</v>
      </c>
      <c r="R37" s="83"/>
      <c r="S37" s="110">
        <f t="shared" si="7"/>
        <v>8.8514603117720831</v>
      </c>
      <c r="T37" s="111">
        <f t="shared" si="8"/>
        <v>42.965862143944335</v>
      </c>
      <c r="U37" s="111">
        <f t="shared" si="9"/>
        <v>202.77065161621346</v>
      </c>
      <c r="V37" s="115" t="s">
        <v>190</v>
      </c>
    </row>
    <row r="38" spans="1:22" ht="33.75">
      <c r="A38" s="8" t="s">
        <v>148</v>
      </c>
      <c r="B38" s="15" t="s">
        <v>49</v>
      </c>
      <c r="C38" s="71" t="s">
        <v>141</v>
      </c>
      <c r="D38" s="261" t="s">
        <v>50</v>
      </c>
      <c r="F38" s="73">
        <f>'36a'!D$30</f>
        <v>15.57</v>
      </c>
      <c r="G38" s="74">
        <f>'36a'!D$29</f>
        <v>17.57</v>
      </c>
      <c r="H38" s="74">
        <f>'36a'!D$27</f>
        <v>19.34</v>
      </c>
      <c r="I38" s="115" t="str">
        <f>"pounds of TN reduced
per "&amp;'BMP info'!E37&amp;"
per year"</f>
        <v>pounds of TN reduced
per system
per year</v>
      </c>
      <c r="J38" s="83"/>
      <c r="K38" s="103">
        <f>'36a'!D$34</f>
        <v>750</v>
      </c>
      <c r="L38" s="115" t="str">
        <f>"per "&amp;'BMP info'!E37&amp;"
per year"</f>
        <v>per system
per year</v>
      </c>
      <c r="M38" s="83"/>
      <c r="N38" s="62">
        <f t="shared" si="10"/>
        <v>20.76</v>
      </c>
      <c r="O38" s="75">
        <f t="shared" si="11"/>
        <v>23.426666666666666</v>
      </c>
      <c r="P38" s="75">
        <f t="shared" si="12"/>
        <v>25.786666666666665</v>
      </c>
      <c r="Q38" s="115" t="s">
        <v>137</v>
      </c>
      <c r="R38" s="83"/>
      <c r="S38" s="108">
        <f t="shared" si="7"/>
        <v>38.779731127197522</v>
      </c>
      <c r="T38" s="112">
        <f t="shared" si="8"/>
        <v>42.686397268070571</v>
      </c>
      <c r="U38" s="112">
        <f t="shared" si="9"/>
        <v>48.169556840077071</v>
      </c>
      <c r="V38" s="115" t="s">
        <v>190</v>
      </c>
    </row>
    <row r="39" spans="1:22" ht="33.75">
      <c r="A39" s="8" t="s">
        <v>149</v>
      </c>
      <c r="B39" s="15" t="s">
        <v>49</v>
      </c>
      <c r="C39" s="71" t="s">
        <v>145</v>
      </c>
      <c r="D39" s="261" t="s">
        <v>50</v>
      </c>
      <c r="F39" s="73">
        <f>'36b'!D$30</f>
        <v>10.28</v>
      </c>
      <c r="G39" s="74">
        <f>'36b'!D$29</f>
        <v>11.12</v>
      </c>
      <c r="H39" s="74">
        <f>'36b'!D$27</f>
        <v>12.09</v>
      </c>
      <c r="I39" s="115" t="str">
        <f>"pounds of TN reduced
per "&amp;'BMP info'!E38&amp;"
per year"</f>
        <v>pounds of TN reduced
per system
per year</v>
      </c>
      <c r="J39" s="83"/>
      <c r="K39" s="103">
        <f>'36b'!D$34</f>
        <v>750</v>
      </c>
      <c r="L39" s="115" t="str">
        <f>"per "&amp;'BMP info'!E38&amp;"
per year"</f>
        <v>per system
per year</v>
      </c>
      <c r="M39" s="83"/>
      <c r="N39" s="62">
        <f t="shared" si="10"/>
        <v>13.706666666666667</v>
      </c>
      <c r="O39" s="75">
        <f t="shared" si="11"/>
        <v>14.826666666666666</v>
      </c>
      <c r="P39" s="75">
        <f t="shared" si="12"/>
        <v>16.12</v>
      </c>
      <c r="Q39" s="115" t="s">
        <v>137</v>
      </c>
      <c r="R39" s="83"/>
      <c r="S39" s="108">
        <f t="shared" si="7"/>
        <v>62.034739454094293</v>
      </c>
      <c r="T39" s="112">
        <f t="shared" si="8"/>
        <v>67.446043165467628</v>
      </c>
      <c r="U39" s="112">
        <f t="shared" si="9"/>
        <v>72.95719844357977</v>
      </c>
      <c r="V39" s="115" t="s">
        <v>190</v>
      </c>
    </row>
    <row r="40" spans="1:22" ht="33.75">
      <c r="A40" s="8" t="s">
        <v>150</v>
      </c>
      <c r="B40" s="15" t="s">
        <v>49</v>
      </c>
      <c r="C40" s="71" t="s">
        <v>157</v>
      </c>
      <c r="D40" s="261" t="s">
        <v>50</v>
      </c>
      <c r="F40" s="73">
        <f>'36c'!D$30</f>
        <v>5.84</v>
      </c>
      <c r="G40" s="74">
        <f>'36c'!D$29</f>
        <v>6.61</v>
      </c>
      <c r="H40" s="74">
        <f>'36c'!D$27</f>
        <v>6.68</v>
      </c>
      <c r="I40" s="115" t="str">
        <f>"pounds of TN reduced
per "&amp;'BMP info'!E39&amp;"
per year"</f>
        <v>pounds of TN reduced
per system
per year</v>
      </c>
      <c r="J40" s="83"/>
      <c r="K40" s="103">
        <f>'36c'!D$34</f>
        <v>750</v>
      </c>
      <c r="L40" s="115" t="str">
        <f>"per "&amp;'BMP info'!E39&amp;"
per year"</f>
        <v>per system
per year</v>
      </c>
      <c r="M40" s="83"/>
      <c r="N40" s="62">
        <f t="shared" si="10"/>
        <v>7.7866666666666671</v>
      </c>
      <c r="O40" s="75">
        <f t="shared" si="11"/>
        <v>8.8133333333333326</v>
      </c>
      <c r="P40" s="75">
        <f t="shared" si="12"/>
        <v>8.9066666666666663</v>
      </c>
      <c r="Q40" s="115" t="s">
        <v>137</v>
      </c>
      <c r="R40" s="83"/>
      <c r="S40" s="108">
        <f t="shared" si="7"/>
        <v>112.27544910179641</v>
      </c>
      <c r="T40" s="112">
        <f t="shared" si="8"/>
        <v>113.464447806354</v>
      </c>
      <c r="U40" s="112">
        <f t="shared" si="9"/>
        <v>128.42465753424659</v>
      </c>
      <c r="V40" s="115" t="s">
        <v>190</v>
      </c>
    </row>
    <row r="41" spans="1:22" ht="33.75">
      <c r="A41" s="8" t="s">
        <v>151</v>
      </c>
      <c r="B41" s="15" t="s">
        <v>49</v>
      </c>
      <c r="C41" s="71" t="s">
        <v>143</v>
      </c>
      <c r="D41" s="261" t="s">
        <v>51</v>
      </c>
      <c r="F41" s="73">
        <f>'37a'!D$30</f>
        <v>7.7817564607971983</v>
      </c>
      <c r="G41" s="74">
        <f>'37a'!D$29</f>
        <v>8.8159523005962175</v>
      </c>
      <c r="H41" s="74">
        <f>'37a'!D$27</f>
        <v>9.1675000000000004</v>
      </c>
      <c r="I41" s="115" t="str">
        <f>"pounds of TN reduced
per "&amp;'BMP info'!E40&amp;"
per year"</f>
        <v>pounds of TN reduced
per system
per year</v>
      </c>
      <c r="J41" s="83"/>
      <c r="K41" s="103">
        <f>'37a'!D$34</f>
        <v>736.82500000000005</v>
      </c>
      <c r="L41" s="115" t="str">
        <f>"per "&amp;'BMP info'!E40&amp;"
per year"</f>
        <v>per system
per year</v>
      </c>
      <c r="M41" s="83"/>
      <c r="N41" s="62">
        <f t="shared" si="10"/>
        <v>10.561200367519014</v>
      </c>
      <c r="O41" s="75">
        <f t="shared" si="11"/>
        <v>11.964784447590972</v>
      </c>
      <c r="P41" s="75">
        <f t="shared" si="12"/>
        <v>12.441895972585078</v>
      </c>
      <c r="Q41" s="115" t="s">
        <v>137</v>
      </c>
      <c r="R41" s="83"/>
      <c r="S41" s="108">
        <f t="shared" si="7"/>
        <v>80.373602399781845</v>
      </c>
      <c r="T41" s="112">
        <f t="shared" si="8"/>
        <v>83.578605563708535</v>
      </c>
      <c r="U41" s="112">
        <f t="shared" si="9"/>
        <v>94.686206605406454</v>
      </c>
      <c r="V41" s="115" t="s">
        <v>190</v>
      </c>
    </row>
    <row r="42" spans="1:22" ht="33.75">
      <c r="A42" s="8" t="s">
        <v>152</v>
      </c>
      <c r="B42" s="15" t="s">
        <v>49</v>
      </c>
      <c r="C42" s="71" t="s">
        <v>146</v>
      </c>
      <c r="D42" s="261" t="s">
        <v>51</v>
      </c>
      <c r="F42" s="73">
        <f>'37b'!D$30</f>
        <v>4.8499999999999996</v>
      </c>
      <c r="G42" s="74">
        <f>'37b'!D$29</f>
        <v>5.55</v>
      </c>
      <c r="H42" s="74">
        <f>'37b'!D$27</f>
        <v>5.88</v>
      </c>
      <c r="I42" s="115" t="str">
        <f>"pounds of TN reduced
per "&amp;'BMP info'!E41&amp;"
per year"</f>
        <v>pounds of TN reduced
per system
per year</v>
      </c>
      <c r="J42" s="83"/>
      <c r="K42" s="103">
        <f>'37b'!D$34</f>
        <v>736.82500000000005</v>
      </c>
      <c r="L42" s="115" t="str">
        <f>"per "&amp;'BMP info'!E41&amp;"
per year"</f>
        <v>per system
per year</v>
      </c>
      <c r="M42" s="83"/>
      <c r="N42" s="62">
        <f t="shared" si="10"/>
        <v>6.5822956604349736</v>
      </c>
      <c r="O42" s="75">
        <f t="shared" si="11"/>
        <v>7.5323177145183724</v>
      </c>
      <c r="P42" s="75">
        <f t="shared" si="12"/>
        <v>7.9801852543005456</v>
      </c>
      <c r="Q42" s="115" t="s">
        <v>137</v>
      </c>
      <c r="R42" s="83"/>
      <c r="S42" s="108">
        <f t="shared" si="7"/>
        <v>125.31037414965988</v>
      </c>
      <c r="T42" s="112">
        <f t="shared" si="8"/>
        <v>132.76126126126127</v>
      </c>
      <c r="U42" s="112">
        <f t="shared" si="9"/>
        <v>151.92268041237116</v>
      </c>
      <c r="V42" s="115" t="s">
        <v>190</v>
      </c>
    </row>
    <row r="43" spans="1:22" ht="33.75">
      <c r="A43" s="8" t="s">
        <v>153</v>
      </c>
      <c r="B43" s="15" t="s">
        <v>49</v>
      </c>
      <c r="C43" s="71" t="s">
        <v>158</v>
      </c>
      <c r="D43" s="261" t="s">
        <v>51</v>
      </c>
      <c r="F43" s="73">
        <f>'37c'!D$30</f>
        <v>2.91</v>
      </c>
      <c r="G43" s="74">
        <f>'37c'!D$29</f>
        <v>3.36</v>
      </c>
      <c r="H43" s="74">
        <f>'37c'!D$27</f>
        <v>3.53</v>
      </c>
      <c r="I43" s="115" t="str">
        <f>"pounds of TN reduced
per "&amp;'BMP info'!E42&amp;"
per year"</f>
        <v>pounds of TN reduced
per system
per year</v>
      </c>
      <c r="J43" s="83"/>
      <c r="K43" s="103">
        <f>'37c'!D$34</f>
        <v>736.82500000000005</v>
      </c>
      <c r="L43" s="115" t="str">
        <f>"per "&amp;'BMP info'!E42&amp;"
per year"</f>
        <v>per system
per year</v>
      </c>
      <c r="M43" s="83"/>
      <c r="N43" s="62">
        <f t="shared" si="10"/>
        <v>3.9493773962609846</v>
      </c>
      <c r="O43" s="75">
        <f t="shared" si="11"/>
        <v>4.5601058596003119</v>
      </c>
      <c r="P43" s="75">
        <f t="shared" si="12"/>
        <v>4.7908255013062799</v>
      </c>
      <c r="Q43" s="115" t="s">
        <v>137</v>
      </c>
      <c r="R43" s="83"/>
      <c r="S43" s="108">
        <f t="shared" si="7"/>
        <v>208.73229461756375</v>
      </c>
      <c r="T43" s="112">
        <f t="shared" si="8"/>
        <v>219.29315476190479</v>
      </c>
      <c r="U43" s="112">
        <f t="shared" si="9"/>
        <v>253.20446735395188</v>
      </c>
      <c r="V43" s="115" t="s">
        <v>190</v>
      </c>
    </row>
    <row r="44" spans="1:22" ht="33.75">
      <c r="A44" s="8" t="s">
        <v>154</v>
      </c>
      <c r="B44" s="15" t="s">
        <v>49</v>
      </c>
      <c r="C44" s="71" t="s">
        <v>144</v>
      </c>
      <c r="D44" s="261" t="s">
        <v>52</v>
      </c>
      <c r="F44" s="73">
        <f>'38a'!D$30</f>
        <v>0.78</v>
      </c>
      <c r="G44" s="74">
        <f>'38a'!D$29</f>
        <v>0.79</v>
      </c>
      <c r="H44" s="74">
        <f>'38a'!D$27</f>
        <v>0.89</v>
      </c>
      <c r="I44" s="115" t="str">
        <f>"pounds of TN reduced
per "&amp;'BMP info'!E43&amp;"
per year"</f>
        <v>pounds of TN reduced
per system
per year</v>
      </c>
      <c r="J44" s="83"/>
      <c r="K44" s="103">
        <f>'38a'!D$34</f>
        <v>193</v>
      </c>
      <c r="L44" s="115" t="str">
        <f>"per "&amp;'BMP info'!E43&amp;"
per year"</f>
        <v>per system
per year</v>
      </c>
      <c r="M44" s="83"/>
      <c r="N44" s="62">
        <f t="shared" si="10"/>
        <v>4.0414507772020727</v>
      </c>
      <c r="O44" s="75">
        <f t="shared" si="11"/>
        <v>4.0932642487046635</v>
      </c>
      <c r="P44" s="75">
        <f t="shared" si="12"/>
        <v>4.6113989637305703</v>
      </c>
      <c r="Q44" s="115" t="s">
        <v>137</v>
      </c>
      <c r="R44" s="83"/>
      <c r="S44" s="108">
        <f t="shared" si="7"/>
        <v>216.85393258426967</v>
      </c>
      <c r="T44" s="112">
        <f t="shared" si="8"/>
        <v>244.30379746835442</v>
      </c>
      <c r="U44" s="112">
        <f t="shared" si="9"/>
        <v>247.43589743589743</v>
      </c>
      <c r="V44" s="115" t="s">
        <v>190</v>
      </c>
    </row>
    <row r="45" spans="1:22" ht="33.75">
      <c r="A45" s="8" t="s">
        <v>155</v>
      </c>
      <c r="B45" s="15" t="s">
        <v>49</v>
      </c>
      <c r="C45" s="71" t="s">
        <v>147</v>
      </c>
      <c r="D45" s="261" t="s">
        <v>52</v>
      </c>
      <c r="F45" s="73">
        <f>'38b'!D$30</f>
        <v>0.49</v>
      </c>
      <c r="G45" s="74">
        <f>'38b'!D$29</f>
        <v>0.51</v>
      </c>
      <c r="H45" s="74">
        <f>'38b'!D$27</f>
        <v>0.56000000000000005</v>
      </c>
      <c r="I45" s="115" t="str">
        <f>"pounds of TN reduced
per "&amp;'BMP info'!E44&amp;"
per year"</f>
        <v>pounds of TN reduced
per system
per year</v>
      </c>
      <c r="J45" s="83"/>
      <c r="K45" s="103">
        <f>'38b'!D$34</f>
        <v>193</v>
      </c>
      <c r="L45" s="115" t="str">
        <f>"per "&amp;'BMP info'!E44&amp;"
per year"</f>
        <v>per system
per year</v>
      </c>
      <c r="M45" s="83"/>
      <c r="N45" s="62">
        <f t="shared" si="10"/>
        <v>2.5388601036269431</v>
      </c>
      <c r="O45" s="75">
        <f t="shared" si="11"/>
        <v>2.6424870466321244</v>
      </c>
      <c r="P45" s="75">
        <f t="shared" si="12"/>
        <v>2.9015544041450778</v>
      </c>
      <c r="Q45" s="115" t="s">
        <v>137</v>
      </c>
      <c r="R45" s="83"/>
      <c r="S45" s="108">
        <f t="shared" si="7"/>
        <v>344.64285714285711</v>
      </c>
      <c r="T45" s="112">
        <f t="shared" si="8"/>
        <v>378.43137254901961</v>
      </c>
      <c r="U45" s="112">
        <f t="shared" si="9"/>
        <v>393.87755102040819</v>
      </c>
      <c r="V45" s="115" t="s">
        <v>190</v>
      </c>
    </row>
    <row r="46" spans="1:22" ht="33.75">
      <c r="A46" s="8" t="s">
        <v>156</v>
      </c>
      <c r="B46" s="15" t="s">
        <v>49</v>
      </c>
      <c r="C46" s="71" t="s">
        <v>159</v>
      </c>
      <c r="D46" s="259" t="s">
        <v>52</v>
      </c>
      <c r="F46" s="73">
        <f>'38c'!D$30</f>
        <v>0.28999999999999998</v>
      </c>
      <c r="G46" s="74">
        <f>'38c'!D$29</f>
        <v>0.3</v>
      </c>
      <c r="H46" s="74">
        <f>'38c'!D$27</f>
        <v>0.33</v>
      </c>
      <c r="I46" s="115" t="str">
        <f>"pounds of TN reduced
per "&amp;'BMP info'!E45&amp;"
per year"</f>
        <v>pounds of TN reduced
per system
per year</v>
      </c>
      <c r="J46" s="83"/>
      <c r="K46" s="103">
        <f>'38c'!D$34</f>
        <v>193</v>
      </c>
      <c r="L46" s="115" t="str">
        <f>"per "&amp;'BMP info'!E45&amp;"
per year"</f>
        <v>per system
per year</v>
      </c>
      <c r="M46" s="83"/>
      <c r="N46" s="62">
        <f t="shared" si="10"/>
        <v>1.5025906735751295</v>
      </c>
      <c r="O46" s="75">
        <f t="shared" si="11"/>
        <v>1.5544041450777202</v>
      </c>
      <c r="P46" s="75">
        <f t="shared" si="12"/>
        <v>1.7098445595854923</v>
      </c>
      <c r="Q46" s="115" t="s">
        <v>137</v>
      </c>
      <c r="R46" s="83"/>
      <c r="S46" s="108">
        <f t="shared" si="7"/>
        <v>584.84848484848487</v>
      </c>
      <c r="T46" s="112">
        <f t="shared" si="8"/>
        <v>643.33333333333337</v>
      </c>
      <c r="U46" s="112">
        <f t="shared" si="9"/>
        <v>665.51724137931035</v>
      </c>
      <c r="V46" s="115" t="s">
        <v>190</v>
      </c>
    </row>
    <row r="47" spans="1:22" ht="33.75" customHeight="1">
      <c r="A47" s="8">
        <v>39</v>
      </c>
      <c r="B47" s="16" t="s">
        <v>69</v>
      </c>
      <c r="C47" s="71" t="s">
        <v>21</v>
      </c>
      <c r="D47" s="259" t="s">
        <v>22</v>
      </c>
      <c r="F47" s="73">
        <f>'39'!D$30</f>
        <v>7.3376217607057823</v>
      </c>
      <c r="G47" s="74">
        <f>'39'!D$29</f>
        <v>22.737344750443604</v>
      </c>
      <c r="H47" s="74">
        <f>'39'!D$27</f>
        <v>22.737360307592752</v>
      </c>
      <c r="I47" s="115" t="str">
        <f>"pounds of TN reduced
per "&amp;'BMP info'!E46&amp;"
per year"</f>
        <v>pounds of TN reduced
per acre
per year</v>
      </c>
      <c r="J47" s="83"/>
      <c r="K47" s="102">
        <f>'39'!D$34</f>
        <v>0</v>
      </c>
      <c r="L47" s="115" t="str">
        <f>"per "&amp;'BMP info'!E46&amp;"
per year"</f>
        <v>per acre
per year</v>
      </c>
      <c r="M47" s="83"/>
      <c r="N47" s="76" t="str">
        <f t="shared" si="10"/>
        <v>-</v>
      </c>
      <c r="O47" s="77" t="str">
        <f t="shared" si="11"/>
        <v>-</v>
      </c>
      <c r="P47" s="77" t="str">
        <f t="shared" si="12"/>
        <v>-</v>
      </c>
      <c r="Q47" s="115" t="s">
        <v>137</v>
      </c>
      <c r="R47" s="83"/>
      <c r="S47" s="106" t="str">
        <f t="shared" si="7"/>
        <v>-</v>
      </c>
      <c r="T47" s="107" t="str">
        <f t="shared" si="8"/>
        <v>-</v>
      </c>
      <c r="U47" s="107" t="str">
        <f t="shared" si="9"/>
        <v>-</v>
      </c>
      <c r="V47" s="115" t="s">
        <v>190</v>
      </c>
    </row>
    <row r="48" spans="1:22" ht="33.75" customHeight="1">
      <c r="A48" s="8">
        <v>40</v>
      </c>
      <c r="B48" s="16" t="s">
        <v>69</v>
      </c>
      <c r="C48" s="71" t="s">
        <v>290</v>
      </c>
      <c r="D48" s="259" t="s">
        <v>139</v>
      </c>
      <c r="F48" s="73">
        <f>'40'!D$30</f>
        <v>3.592990109</v>
      </c>
      <c r="G48" s="74">
        <f>'40'!D$29</f>
        <v>6.2138742669999996</v>
      </c>
      <c r="H48" s="74">
        <f>'40'!D$27</f>
        <v>13.21549839</v>
      </c>
      <c r="I48" s="115" t="str">
        <f>"pounds of TN reduced
per "&amp;'BMP info'!E47&amp;"
per year"</f>
        <v>pounds of TN reduced
per acre treated
per year</v>
      </c>
      <c r="J48" s="83"/>
      <c r="K48" s="103">
        <f>'40'!D$34</f>
        <v>1038.5999999999999</v>
      </c>
      <c r="L48" s="115" t="str">
        <f>"per "&amp;'BMP info'!E47&amp;"
per year"</f>
        <v>per acre treated
per year</v>
      </c>
      <c r="M48" s="83"/>
      <c r="N48" s="62">
        <f t="shared" si="10"/>
        <v>3.4594551405738496</v>
      </c>
      <c r="O48" s="63">
        <f t="shared" si="11"/>
        <v>5.9829330512227994</v>
      </c>
      <c r="P48" s="63">
        <f t="shared" si="12"/>
        <v>12.724338908145583</v>
      </c>
      <c r="Q48" s="115" t="s">
        <v>137</v>
      </c>
      <c r="R48" s="83"/>
      <c r="S48" s="108">
        <f>IF($K48*H48=0,"-",$K48/H48)</f>
        <v>78.589544590001637</v>
      </c>
      <c r="T48" s="109">
        <f>IF($K48*G48=0,"-",$K48/G48)</f>
        <v>167.14210094589285</v>
      </c>
      <c r="U48" s="109">
        <f>IF($K48*F48=0,"-",$K48/F48)</f>
        <v>289.06286087413213</v>
      </c>
      <c r="V48" s="115" t="s">
        <v>190</v>
      </c>
    </row>
    <row r="49" spans="1:22" ht="33.75" customHeight="1">
      <c r="A49" s="8">
        <v>41</v>
      </c>
      <c r="B49" s="16" t="s">
        <v>69</v>
      </c>
      <c r="C49" s="71" t="s">
        <v>280</v>
      </c>
      <c r="D49" s="259" t="s">
        <v>23</v>
      </c>
      <c r="F49" s="73">
        <f>'41'!D$30</f>
        <v>5.9665535289999996</v>
      </c>
      <c r="G49" s="74">
        <f>'41'!D$29</f>
        <v>7.3703256269999997</v>
      </c>
      <c r="H49" s="74">
        <f>'41'!D$27</f>
        <v>13.303881410000001</v>
      </c>
      <c r="I49" s="115" t="str">
        <f>"pounds of TN reduced
per "&amp;'BMP info'!E48&amp;"
per year"</f>
        <v>pounds of TN reduced
per acre treated
per year</v>
      </c>
      <c r="J49" s="83"/>
      <c r="K49" s="103">
        <f>'41'!D$34</f>
        <v>827.45</v>
      </c>
      <c r="L49" s="115" t="str">
        <f>"per "&amp;'BMP info'!E48&amp;"
per year"</f>
        <v>per acre treated
per year</v>
      </c>
      <c r="M49" s="83"/>
      <c r="N49" s="62">
        <f t="shared" si="10"/>
        <v>7.2107722871472593</v>
      </c>
      <c r="O49" s="63">
        <f t="shared" si="11"/>
        <v>8.9072761218200487</v>
      </c>
      <c r="P49" s="63">
        <f t="shared" si="12"/>
        <v>16.078169569158256</v>
      </c>
      <c r="Q49" s="115" t="s">
        <v>137</v>
      </c>
      <c r="R49" s="83"/>
      <c r="S49" s="108">
        <f>IF($K49*H49=0,"-",$K49/H49)</f>
        <v>62.196134684276323</v>
      </c>
      <c r="T49" s="109">
        <f>IF($K49*G49=0,"-",$K49/G49)</f>
        <v>112.26776697202772</v>
      </c>
      <c r="U49" s="109">
        <f>IF($K49*F49=0,"-",$K49/F49)</f>
        <v>138.68140057375493</v>
      </c>
      <c r="V49" s="115" t="s">
        <v>190</v>
      </c>
    </row>
    <row r="50" spans="1:22" ht="33.75" customHeight="1">
      <c r="A50" s="8">
        <v>42</v>
      </c>
      <c r="B50" s="16" t="s">
        <v>69</v>
      </c>
      <c r="C50" s="71" t="s">
        <v>281</v>
      </c>
      <c r="D50" s="259" t="s">
        <v>24</v>
      </c>
      <c r="F50" s="73">
        <f>'42'!D$30</f>
        <v>0.33029382000000002</v>
      </c>
      <c r="G50" s="74">
        <f>'42'!D$29</f>
        <v>0.60268286699999996</v>
      </c>
      <c r="H50" s="74">
        <f>'42'!D$27</f>
        <v>1.016198704</v>
      </c>
      <c r="I50" s="115" t="str">
        <f>"pounds of TN reduced
per "&amp;'BMP info'!E49&amp;"
per year"</f>
        <v>pounds of TN reduced
per acre treated
per year</v>
      </c>
      <c r="J50" s="83"/>
      <c r="K50" s="103">
        <f>'42'!D$34</f>
        <v>1120.8499999999999</v>
      </c>
      <c r="L50" s="115" t="str">
        <f>"per "&amp;'BMP info'!E49&amp;"
per year"</f>
        <v>per acre treated
per year</v>
      </c>
      <c r="M50" s="83"/>
      <c r="N50" s="62">
        <f t="shared" si="10"/>
        <v>0.29468155417763309</v>
      </c>
      <c r="O50" s="63">
        <f t="shared" si="11"/>
        <v>0.53770162555203649</v>
      </c>
      <c r="P50" s="63">
        <f t="shared" si="12"/>
        <v>0.9066322023464336</v>
      </c>
      <c r="Q50" s="115" t="s">
        <v>137</v>
      </c>
      <c r="R50" s="83"/>
      <c r="S50" s="108">
        <f t="shared" si="7"/>
        <v>1102.9831031943531</v>
      </c>
      <c r="T50" s="109">
        <f t="shared" si="8"/>
        <v>1859.7674853099813</v>
      </c>
      <c r="U50" s="109">
        <f t="shared" si="9"/>
        <v>3393.4937081172147</v>
      </c>
      <c r="V50" s="115" t="s">
        <v>190</v>
      </c>
    </row>
    <row r="51" spans="1:22" ht="33.75" customHeight="1">
      <c r="A51" s="8">
        <v>43</v>
      </c>
      <c r="B51" s="16" t="s">
        <v>69</v>
      </c>
      <c r="C51" s="71" t="s">
        <v>26</v>
      </c>
      <c r="D51" s="259" t="s">
        <v>27</v>
      </c>
      <c r="F51" s="73">
        <f>'43'!D$30</f>
        <v>4.221594348</v>
      </c>
      <c r="G51" s="74">
        <f>'43'!D$29</f>
        <v>5.1377284599999999</v>
      </c>
      <c r="H51" s="74">
        <f>'43'!D$27</f>
        <v>15.87412709</v>
      </c>
      <c r="I51" s="115" t="str">
        <f>"pounds of TN reduced
per "&amp;'BMP info'!E50&amp;"
per year"</f>
        <v>pounds of TN reduced
per acre treated
per year</v>
      </c>
      <c r="J51" s="83"/>
      <c r="K51" s="103">
        <f>'43'!D$34</f>
        <v>1305</v>
      </c>
      <c r="L51" s="115" t="str">
        <f>"per "&amp;'BMP info'!E50&amp;"
per year"</f>
        <v>per acre treated
per year</v>
      </c>
      <c r="M51" s="83"/>
      <c r="N51" s="62">
        <f t="shared" si="10"/>
        <v>3.2349381977011493</v>
      </c>
      <c r="O51" s="63">
        <f t="shared" si="11"/>
        <v>3.9369566743295019</v>
      </c>
      <c r="P51" s="63">
        <f t="shared" si="12"/>
        <v>12.164082061302683</v>
      </c>
      <c r="Q51" s="115" t="s">
        <v>137</v>
      </c>
      <c r="R51" s="83"/>
      <c r="S51" s="108">
        <f t="shared" si="7"/>
        <v>82.209244804528026</v>
      </c>
      <c r="T51" s="109">
        <f t="shared" si="8"/>
        <v>254.0033032419156</v>
      </c>
      <c r="U51" s="109">
        <f t="shared" si="9"/>
        <v>309.12491642363739</v>
      </c>
      <c r="V51" s="115" t="s">
        <v>190</v>
      </c>
    </row>
    <row r="52" spans="1:22" ht="33.75" customHeight="1">
      <c r="A52" s="8">
        <v>44</v>
      </c>
      <c r="B52" s="16" t="s">
        <v>69</v>
      </c>
      <c r="C52" s="71" t="s">
        <v>66</v>
      </c>
      <c r="D52" s="259" t="s">
        <v>28</v>
      </c>
      <c r="F52" s="73">
        <f>'44'!D$30</f>
        <v>2.23</v>
      </c>
      <c r="G52" s="74">
        <f>'44'!D$29</f>
        <v>6.96</v>
      </c>
      <c r="H52" s="74">
        <f>'44'!D$27</f>
        <v>6.96</v>
      </c>
      <c r="I52" s="115" t="str">
        <f>"pounds of TN reduced
per "&amp;'BMP info'!E51&amp;"
per year"</f>
        <v>pounds of TN reduced
per acre treated
per year</v>
      </c>
      <c r="J52" s="83"/>
      <c r="K52" s="103">
        <f>'44'!D$34</f>
        <v>1305</v>
      </c>
      <c r="L52" s="115" t="str">
        <f>"per "&amp;'BMP info'!E51&amp;"
per year"</f>
        <v>per acre treated
per year</v>
      </c>
      <c r="M52" s="83"/>
      <c r="N52" s="62">
        <f t="shared" si="10"/>
        <v>1.7088122605363985</v>
      </c>
      <c r="O52" s="63">
        <f t="shared" si="11"/>
        <v>5.333333333333333</v>
      </c>
      <c r="P52" s="63">
        <f t="shared" si="12"/>
        <v>5.333333333333333</v>
      </c>
      <c r="Q52" s="115" t="s">
        <v>137</v>
      </c>
      <c r="R52" s="83"/>
      <c r="S52" s="108">
        <f t="shared" si="7"/>
        <v>187.5</v>
      </c>
      <c r="T52" s="109">
        <f t="shared" si="8"/>
        <v>187.5</v>
      </c>
      <c r="U52" s="109">
        <f t="shared" si="9"/>
        <v>585.2017937219731</v>
      </c>
      <c r="V52" s="115" t="s">
        <v>190</v>
      </c>
    </row>
    <row r="53" spans="1:22" ht="33.75" customHeight="1">
      <c r="A53" s="8">
        <v>45</v>
      </c>
      <c r="B53" s="16" t="s">
        <v>69</v>
      </c>
      <c r="C53" s="71" t="s">
        <v>282</v>
      </c>
      <c r="D53" s="259" t="s">
        <v>25</v>
      </c>
      <c r="F53" s="73">
        <f>'45'!D$30</f>
        <v>1.2378346689999999</v>
      </c>
      <c r="G53" s="74">
        <f>'45'!D$29</f>
        <v>2.4550307400000002</v>
      </c>
      <c r="H53" s="74">
        <f>'45'!D$27</f>
        <v>4.1656005489999997</v>
      </c>
      <c r="I53" s="115" t="str">
        <f>"pounds of TN reduced
per "&amp;'BMP info'!E52&amp;"
per year"</f>
        <v>pounds of TN reduced
per acre treated
per year</v>
      </c>
      <c r="J53" s="83"/>
      <c r="K53" s="103">
        <f>'45'!D$34</f>
        <v>614.75</v>
      </c>
      <c r="L53" s="115" t="str">
        <f>"per "&amp;'BMP info'!E52&amp;"
per year"</f>
        <v>per acre treated
per year</v>
      </c>
      <c r="M53" s="83"/>
      <c r="N53" s="62">
        <f t="shared" ref="N53:N66" si="13">IF($K53=0,"-",1000*F53/$K53)</f>
        <v>2.0135578186254572</v>
      </c>
      <c r="O53" s="63">
        <f t="shared" ref="O53:O66" si="14">IF($K53=0,"-",1000*G53/$K53)</f>
        <v>3.9935432940219604</v>
      </c>
      <c r="P53" s="63">
        <f t="shared" ref="P53:P66" si="15">IF($K53=0,"-",1000*H53/$K53)</f>
        <v>6.7760887336315569</v>
      </c>
      <c r="Q53" s="115" t="s">
        <v>137</v>
      </c>
      <c r="R53" s="83"/>
      <c r="S53" s="108">
        <f t="shared" ref="S53:S66" si="16">IF($K53*H53=0,"-",$K53/H53)</f>
        <v>147.57776046183253</v>
      </c>
      <c r="T53" s="109">
        <f t="shared" ref="T53:T66" si="17">IF($K53*G53=0,"-",$K53/G53)</f>
        <v>250.40419656822706</v>
      </c>
      <c r="U53" s="109">
        <f t="shared" ref="U53:U66" si="18">IF($K53*F53=0,"-",$K53/F53)</f>
        <v>496.63336744044614</v>
      </c>
      <c r="V53" s="115" t="s">
        <v>190</v>
      </c>
    </row>
    <row r="54" spans="1:22" ht="33.75" customHeight="1">
      <c r="A54" s="8">
        <v>46</v>
      </c>
      <c r="B54" s="16" t="s">
        <v>69</v>
      </c>
      <c r="C54" s="71" t="s">
        <v>283</v>
      </c>
      <c r="D54" s="259" t="s">
        <v>36</v>
      </c>
      <c r="F54" s="73">
        <f>'46'!D$30</f>
        <v>2.0211181909999998</v>
      </c>
      <c r="G54" s="74">
        <f>'46'!D$29</f>
        <v>3.392466695</v>
      </c>
      <c r="H54" s="74">
        <f>'46'!D$27</f>
        <v>7.5163330180000001</v>
      </c>
      <c r="I54" s="115" t="str">
        <f>"pounds of TN reduced
per "&amp;'BMP info'!E53&amp;"
per year"</f>
        <v>pounds of TN reduced
per acre treated
per year</v>
      </c>
      <c r="J54" s="83"/>
      <c r="K54" s="103">
        <f>'46'!D$34</f>
        <v>1465.35</v>
      </c>
      <c r="L54" s="115" t="str">
        <f>"per "&amp;'BMP info'!E53&amp;"
per year"</f>
        <v>per acre treated
per year</v>
      </c>
      <c r="M54" s="83"/>
      <c r="N54" s="62">
        <f t="shared" si="13"/>
        <v>1.3792733415225031</v>
      </c>
      <c r="O54" s="63">
        <f t="shared" si="14"/>
        <v>2.3151238236598766</v>
      </c>
      <c r="P54" s="63">
        <f t="shared" si="15"/>
        <v>5.129377294161805</v>
      </c>
      <c r="Q54" s="115" t="s">
        <v>137</v>
      </c>
      <c r="R54" s="83"/>
      <c r="S54" s="108">
        <f t="shared" si="16"/>
        <v>194.95543857500752</v>
      </c>
      <c r="T54" s="109">
        <f t="shared" si="17"/>
        <v>431.94233923054031</v>
      </c>
      <c r="U54" s="109">
        <f t="shared" si="18"/>
        <v>725.01945038403744</v>
      </c>
      <c r="V54" s="115" t="s">
        <v>190</v>
      </c>
    </row>
    <row r="55" spans="1:22" ht="33.75" customHeight="1">
      <c r="A55" s="8">
        <v>47</v>
      </c>
      <c r="B55" s="16" t="s">
        <v>69</v>
      </c>
      <c r="C55" s="71" t="s">
        <v>37</v>
      </c>
      <c r="D55" s="259" t="s">
        <v>38</v>
      </c>
      <c r="F55" s="73">
        <f>'47'!D$30</f>
        <v>3.748138591</v>
      </c>
      <c r="G55" s="74">
        <f>'47'!D$29</f>
        <v>7.8892344940000001</v>
      </c>
      <c r="H55" s="74">
        <f>'47'!D$27</f>
        <v>15.687048000000001</v>
      </c>
      <c r="I55" s="115" t="str">
        <f>"pounds of TN reduced
per "&amp;'BMP info'!E54&amp;"
per year"</f>
        <v>pounds of TN reduced
per acre
per year</v>
      </c>
      <c r="J55" s="83"/>
      <c r="K55" s="104">
        <f>'47'!D$34</f>
        <v>531.375</v>
      </c>
      <c r="L55" s="115" t="str">
        <f>"per "&amp;'BMP info'!E54&amp;"
per year"</f>
        <v>per acre
per year</v>
      </c>
      <c r="M55" s="83"/>
      <c r="N55" s="62">
        <f t="shared" si="13"/>
        <v>7.0536600159962362</v>
      </c>
      <c r="O55" s="63">
        <f t="shared" si="14"/>
        <v>14.846830381557281</v>
      </c>
      <c r="P55" s="63">
        <f t="shared" si="15"/>
        <v>29.521614678899084</v>
      </c>
      <c r="Q55" s="115" t="s">
        <v>137</v>
      </c>
      <c r="R55" s="83"/>
      <c r="S55" s="108">
        <f t="shared" si="16"/>
        <v>33.873485948407883</v>
      </c>
      <c r="T55" s="109">
        <f t="shared" si="17"/>
        <v>67.354443628735666</v>
      </c>
      <c r="U55" s="109">
        <f t="shared" si="18"/>
        <v>141.77037137205474</v>
      </c>
      <c r="V55" s="115" t="s">
        <v>190</v>
      </c>
    </row>
    <row r="56" spans="1:22" ht="33.75" customHeight="1">
      <c r="A56" s="8">
        <v>48</v>
      </c>
      <c r="B56" s="16" t="s">
        <v>69</v>
      </c>
      <c r="C56" s="71" t="s">
        <v>29</v>
      </c>
      <c r="D56" s="259" t="s">
        <v>30</v>
      </c>
      <c r="F56" s="73">
        <f>'48'!D$30</f>
        <v>2.6732427599999999</v>
      </c>
      <c r="G56" s="74">
        <f>'48'!D$29</f>
        <v>4.8954497630000002</v>
      </c>
      <c r="H56" s="74">
        <f>'48'!D$27</f>
        <v>11.65259781</v>
      </c>
      <c r="I56" s="115" t="str">
        <f>"pounds of TN reduced
per "&amp;'BMP info'!E55&amp;"
per year"</f>
        <v>pounds of TN reduced
per acre
per year</v>
      </c>
      <c r="J56" s="83"/>
      <c r="K56" s="104">
        <f>'48'!D$34</f>
        <v>0</v>
      </c>
      <c r="L56" s="115" t="str">
        <f>"per "&amp;'BMP info'!E55&amp;"
per year"</f>
        <v>per acre
per year</v>
      </c>
      <c r="M56" s="83"/>
      <c r="N56" s="62" t="str">
        <f t="shared" si="13"/>
        <v>-</v>
      </c>
      <c r="O56" s="63" t="str">
        <f t="shared" si="14"/>
        <v>-</v>
      </c>
      <c r="P56" s="63" t="str">
        <f t="shared" si="15"/>
        <v>-</v>
      </c>
      <c r="Q56" s="115" t="s">
        <v>137</v>
      </c>
      <c r="R56" s="83"/>
      <c r="S56" s="108" t="str">
        <f t="shared" si="16"/>
        <v>-</v>
      </c>
      <c r="T56" s="109" t="str">
        <f t="shared" si="17"/>
        <v>-</v>
      </c>
      <c r="U56" s="109" t="str">
        <f t="shared" si="18"/>
        <v>-</v>
      </c>
      <c r="V56" s="115" t="s">
        <v>190</v>
      </c>
    </row>
    <row r="57" spans="1:22" ht="33.75" customHeight="1">
      <c r="A57" s="8">
        <v>49</v>
      </c>
      <c r="B57" s="16" t="s">
        <v>69</v>
      </c>
      <c r="C57" s="71" t="s">
        <v>31</v>
      </c>
      <c r="D57" s="259" t="s">
        <v>32</v>
      </c>
      <c r="F57" s="73">
        <f>'49'!D$30</f>
        <v>2.0257710680000001</v>
      </c>
      <c r="G57" s="74">
        <f>'49'!D$29</f>
        <v>4.0570173059999997</v>
      </c>
      <c r="H57" s="74">
        <f>'49'!D$27</f>
        <v>8.2209473679999991</v>
      </c>
      <c r="I57" s="115" t="str">
        <f>"pounds of TN reduced
per "&amp;'BMP info'!E56&amp;"
per year"</f>
        <v>pounds of TN reduced
per acre
per year</v>
      </c>
      <c r="J57" s="83"/>
      <c r="K57" s="104">
        <f>'49'!D$34</f>
        <v>8684.6</v>
      </c>
      <c r="L57" s="115" t="str">
        <f>"per "&amp;'BMP info'!E56&amp;"
per year"</f>
        <v>per acre
per year</v>
      </c>
      <c r="M57" s="83"/>
      <c r="N57" s="62">
        <f t="shared" si="13"/>
        <v>0.23326014646615847</v>
      </c>
      <c r="O57" s="63">
        <f t="shared" si="14"/>
        <v>0.46715073877898805</v>
      </c>
      <c r="P57" s="63">
        <f t="shared" si="15"/>
        <v>0.94661209128802692</v>
      </c>
      <c r="Q57" s="115" t="s">
        <v>137</v>
      </c>
      <c r="R57" s="83"/>
      <c r="S57" s="108">
        <f t="shared" si="16"/>
        <v>1056.3989296178645</v>
      </c>
      <c r="T57" s="109">
        <f t="shared" si="17"/>
        <v>2140.6366660443327</v>
      </c>
      <c r="U57" s="109">
        <f t="shared" si="18"/>
        <v>4287.0589560616627</v>
      </c>
      <c r="V57" s="115" t="s">
        <v>190</v>
      </c>
    </row>
    <row r="58" spans="1:22" ht="33.75" customHeight="1">
      <c r="A58" s="8">
        <v>50</v>
      </c>
      <c r="B58" s="16" t="s">
        <v>69</v>
      </c>
      <c r="C58" s="71" t="s">
        <v>284</v>
      </c>
      <c r="D58" s="259" t="s">
        <v>39</v>
      </c>
      <c r="F58" s="73">
        <f>'50'!D$30</f>
        <v>4.0777269159999996</v>
      </c>
      <c r="G58" s="74">
        <f>'50'!D$29</f>
        <v>6.2071241119999998</v>
      </c>
      <c r="H58" s="74">
        <f>'50'!D$27</f>
        <v>15.269956049999999</v>
      </c>
      <c r="I58" s="115" t="str">
        <f>"pounds of TN reduced
per "&amp;'BMP info'!E57&amp;"
per year"</f>
        <v>pounds of TN reduced
per acre treated
per year</v>
      </c>
      <c r="J58" s="83"/>
      <c r="K58" s="103">
        <f>'50'!D$34</f>
        <v>1114.9000000000001</v>
      </c>
      <c r="L58" s="115" t="str">
        <f>"per "&amp;'BMP info'!E57&amp;"
per year"</f>
        <v>per acre treated
per year</v>
      </c>
      <c r="M58" s="83"/>
      <c r="N58" s="62">
        <f t="shared" si="13"/>
        <v>3.6574822100636823</v>
      </c>
      <c r="O58" s="63">
        <f t="shared" si="14"/>
        <v>5.5674267754955595</v>
      </c>
      <c r="P58" s="63">
        <f t="shared" si="15"/>
        <v>13.696256211319399</v>
      </c>
      <c r="Q58" s="115" t="s">
        <v>137</v>
      </c>
      <c r="R58" s="83"/>
      <c r="S58" s="108">
        <f t="shared" si="16"/>
        <v>73.012652842573189</v>
      </c>
      <c r="T58" s="109">
        <f t="shared" si="17"/>
        <v>179.61619260111229</v>
      </c>
      <c r="U58" s="109">
        <f t="shared" si="18"/>
        <v>273.41212959244672</v>
      </c>
      <c r="V58" s="115" t="s">
        <v>190</v>
      </c>
    </row>
    <row r="59" spans="1:22" ht="33.75" customHeight="1">
      <c r="A59" s="8">
        <v>51</v>
      </c>
      <c r="B59" s="16" t="s">
        <v>69</v>
      </c>
      <c r="C59" s="71" t="s">
        <v>285</v>
      </c>
      <c r="D59" s="259" t="s">
        <v>40</v>
      </c>
      <c r="F59" s="73">
        <f>'51'!D$30</f>
        <v>7.521064687</v>
      </c>
      <c r="G59" s="74">
        <f>'51'!D$29</f>
        <v>7.7759989149999997</v>
      </c>
      <c r="H59" s="74">
        <f>'51'!D$27</f>
        <v>16.229328710000001</v>
      </c>
      <c r="I59" s="115" t="str">
        <f>"pounds of TN reduced
per "&amp;'BMP info'!E58&amp;"
per year"</f>
        <v>pounds of TN reduced
per acre treated
per year</v>
      </c>
      <c r="J59" s="83"/>
      <c r="K59" s="103">
        <f>'51'!D$34</f>
        <v>1137.4000000000001</v>
      </c>
      <c r="L59" s="115" t="str">
        <f>"per "&amp;'BMP info'!E58&amp;"
per year"</f>
        <v>per acre treated
per year</v>
      </c>
      <c r="M59" s="83"/>
      <c r="N59" s="62">
        <f t="shared" si="13"/>
        <v>6.6125063187972568</v>
      </c>
      <c r="O59" s="63">
        <f t="shared" si="14"/>
        <v>6.8366440258484262</v>
      </c>
      <c r="P59" s="63">
        <f t="shared" si="15"/>
        <v>14.268796122736065</v>
      </c>
      <c r="Q59" s="115" t="s">
        <v>137</v>
      </c>
      <c r="R59" s="83"/>
      <c r="S59" s="108">
        <f t="shared" si="16"/>
        <v>70.082997289910708</v>
      </c>
      <c r="T59" s="109">
        <f t="shared" si="17"/>
        <v>146.27059654110047</v>
      </c>
      <c r="U59" s="109">
        <f t="shared" si="18"/>
        <v>151.22858894778179</v>
      </c>
      <c r="V59" s="115" t="s">
        <v>190</v>
      </c>
    </row>
    <row r="60" spans="1:22" ht="33.75" customHeight="1">
      <c r="A60" s="8">
        <v>52</v>
      </c>
      <c r="B60" s="16" t="s">
        <v>69</v>
      </c>
      <c r="C60" s="71" t="s">
        <v>286</v>
      </c>
      <c r="D60" s="259" t="s">
        <v>138</v>
      </c>
      <c r="F60" s="73">
        <f>'52'!D$30</f>
        <v>4.3773983989999996</v>
      </c>
      <c r="G60" s="74">
        <f>'52'!D$29</f>
        <v>4.5623188409999997</v>
      </c>
      <c r="H60" s="74">
        <f>'52'!D$27</f>
        <v>4.6101551479999996</v>
      </c>
      <c r="I60" s="115" t="str">
        <f>"pounds of TN reduced
per "&amp;'BMP info'!E59&amp;"
per year"</f>
        <v>pounds of TN reduced
per acre treated
per year</v>
      </c>
      <c r="J60" s="83"/>
      <c r="K60" s="104">
        <f>'52'!D$34</f>
        <v>4957.6499999999996</v>
      </c>
      <c r="L60" s="115" t="str">
        <f>"per "&amp;'BMP info'!E59&amp;"
per year"</f>
        <v>per acre treated
per year</v>
      </c>
      <c r="M60" s="83"/>
      <c r="N60" s="62">
        <f t="shared" si="13"/>
        <v>0.88295833691365866</v>
      </c>
      <c r="O60" s="63">
        <f t="shared" si="14"/>
        <v>0.92025835647938026</v>
      </c>
      <c r="P60" s="63">
        <f t="shared" si="15"/>
        <v>0.92990734481054538</v>
      </c>
      <c r="Q60" s="115" t="s">
        <v>137</v>
      </c>
      <c r="R60" s="83"/>
      <c r="S60" s="108">
        <f t="shared" si="16"/>
        <v>1075.3759560891897</v>
      </c>
      <c r="T60" s="109">
        <f t="shared" si="17"/>
        <v>1086.6513658465283</v>
      </c>
      <c r="U60" s="109">
        <f t="shared" si="18"/>
        <v>1132.556269297434</v>
      </c>
      <c r="V60" s="115" t="s">
        <v>190</v>
      </c>
    </row>
    <row r="61" spans="1:22" ht="33.75" customHeight="1">
      <c r="A61" s="8">
        <v>53</v>
      </c>
      <c r="B61" s="16" t="s">
        <v>69</v>
      </c>
      <c r="C61" s="71" t="s">
        <v>287</v>
      </c>
      <c r="D61" s="259" t="s">
        <v>33</v>
      </c>
      <c r="F61" s="73">
        <f>'53'!D$30</f>
        <v>1.6719601909999999</v>
      </c>
      <c r="G61" s="74">
        <f>'53'!D$29</f>
        <v>2.7288291939999998</v>
      </c>
      <c r="H61" s="74">
        <f>'53'!D$27</f>
        <v>4.8280955900000002</v>
      </c>
      <c r="I61" s="115" t="str">
        <f>"pounds of TN reduced
per "&amp;'BMP info'!E60&amp;"
per year"</f>
        <v>pounds of TN reduced
per acre treated
per year</v>
      </c>
      <c r="J61" s="83"/>
      <c r="K61" s="103">
        <f>'53'!D$34</f>
        <v>1621.6</v>
      </c>
      <c r="L61" s="115" t="str">
        <f>"per "&amp;'BMP info'!E60&amp;"
per year"</f>
        <v>per acre treated
per year</v>
      </c>
      <c r="M61" s="83"/>
      <c r="N61" s="62">
        <f t="shared" si="13"/>
        <v>1.0310558651948694</v>
      </c>
      <c r="O61" s="63">
        <f t="shared" si="14"/>
        <v>1.6828004403058707</v>
      </c>
      <c r="P61" s="63">
        <f t="shared" si="15"/>
        <v>2.9773653120374939</v>
      </c>
      <c r="Q61" s="115" t="s">
        <v>137</v>
      </c>
      <c r="R61" s="83"/>
      <c r="S61" s="108">
        <f t="shared" si="16"/>
        <v>335.86741806824909</v>
      </c>
      <c r="T61" s="109">
        <f t="shared" si="17"/>
        <v>594.24752694873143</v>
      </c>
      <c r="U61" s="109">
        <f t="shared" si="18"/>
        <v>969.87955139656788</v>
      </c>
      <c r="V61" s="115" t="s">
        <v>190</v>
      </c>
    </row>
    <row r="62" spans="1:22" ht="33.75" customHeight="1">
      <c r="A62" s="8">
        <v>54</v>
      </c>
      <c r="B62" s="16" t="s">
        <v>69</v>
      </c>
      <c r="C62" s="71" t="s">
        <v>34</v>
      </c>
      <c r="D62" s="259" t="s">
        <v>35</v>
      </c>
      <c r="F62" s="73">
        <f>'54'!D$30</f>
        <v>0.1804779610979281</v>
      </c>
      <c r="G62" s="74">
        <f>'54'!D$29</f>
        <v>0.18103114552173008</v>
      </c>
      <c r="H62" s="74">
        <f>'54'!D$27</f>
        <v>0.4214083278831332</v>
      </c>
      <c r="I62" s="115" t="str">
        <f>"pounds of TN reduced
per "&amp;'BMP info'!E61&amp;"
per year"</f>
        <v>pounds of TN reduced
per acre
per year</v>
      </c>
      <c r="J62" s="83"/>
      <c r="K62" s="103">
        <f>'54'!D$34</f>
        <v>743.45</v>
      </c>
      <c r="L62" s="115" t="str">
        <f>"per "&amp;'BMP info'!E61&amp;"
per year"</f>
        <v>per acre
per year</v>
      </c>
      <c r="M62" s="83"/>
      <c r="N62" s="62">
        <f t="shared" si="13"/>
        <v>0.24275736242911841</v>
      </c>
      <c r="O62" s="63">
        <f t="shared" si="14"/>
        <v>0.24350143993776321</v>
      </c>
      <c r="P62" s="63">
        <f t="shared" si="15"/>
        <v>0.56682806897993565</v>
      </c>
      <c r="Q62" s="115" t="s">
        <v>137</v>
      </c>
      <c r="R62" s="83"/>
      <c r="S62" s="108">
        <f t="shared" si="16"/>
        <v>1764.2033885153235</v>
      </c>
      <c r="T62" s="109">
        <f t="shared" si="17"/>
        <v>4106.7518954121624</v>
      </c>
      <c r="U62" s="109">
        <f t="shared" si="18"/>
        <v>4119.3395330779522</v>
      </c>
      <c r="V62" s="115" t="s">
        <v>190</v>
      </c>
    </row>
    <row r="63" spans="1:22" ht="33.75" customHeight="1">
      <c r="A63" s="8">
        <v>55</v>
      </c>
      <c r="B63" s="16" t="s">
        <v>69</v>
      </c>
      <c r="C63" s="71" t="s">
        <v>41</v>
      </c>
      <c r="D63" s="259" t="s">
        <v>42</v>
      </c>
      <c r="F63" s="73">
        <f>'55'!D$30</f>
        <v>0.65543053828131792</v>
      </c>
      <c r="G63" s="74">
        <f>'55'!D$29</f>
        <v>1.1573553014344466</v>
      </c>
      <c r="H63" s="74">
        <f>'55'!D$27</f>
        <v>2.8638591390330417</v>
      </c>
      <c r="I63" s="115" t="str">
        <f>"pounds of TN reduced
per "&amp;'BMP info'!E62&amp;"
per year"</f>
        <v>pounds of TN reduced
per acre
per year</v>
      </c>
      <c r="J63" s="83"/>
      <c r="K63" s="103">
        <f>'55'!D$34</f>
        <v>147.5</v>
      </c>
      <c r="L63" s="115" t="str">
        <f>"per "&amp;'BMP info'!E62&amp;"
per year"</f>
        <v>per acre
per year</v>
      </c>
      <c r="M63" s="83"/>
      <c r="N63" s="62">
        <f t="shared" si="13"/>
        <v>4.4435968697038506</v>
      </c>
      <c r="O63" s="63">
        <f t="shared" si="14"/>
        <v>7.8464766198945535</v>
      </c>
      <c r="P63" s="63">
        <f t="shared" si="15"/>
        <v>19.415994162935874</v>
      </c>
      <c r="Q63" s="115" t="s">
        <v>137</v>
      </c>
      <c r="R63" s="83"/>
      <c r="S63" s="108">
        <f t="shared" si="16"/>
        <v>51.503929781198025</v>
      </c>
      <c r="T63" s="109">
        <f t="shared" si="17"/>
        <v>127.44573755110974</v>
      </c>
      <c r="U63" s="109">
        <f t="shared" si="18"/>
        <v>225.04291665563406</v>
      </c>
      <c r="V63" s="115" t="s">
        <v>190</v>
      </c>
    </row>
    <row r="64" spans="1:22" ht="33.75" customHeight="1">
      <c r="A64" s="8">
        <v>56</v>
      </c>
      <c r="B64" s="16" t="s">
        <v>69</v>
      </c>
      <c r="C64" s="71" t="s">
        <v>44</v>
      </c>
      <c r="D64" s="259" t="s">
        <v>45</v>
      </c>
      <c r="F64" s="73">
        <f>'56'!D$30</f>
        <v>4.712897603</v>
      </c>
      <c r="G64" s="74">
        <f>'56'!D$29</f>
        <v>6.4454148470000003</v>
      </c>
      <c r="H64" s="74">
        <f>'56'!D$27</f>
        <v>11.34124961</v>
      </c>
      <c r="I64" s="115" t="str">
        <f>"pounds of TN reduced
per "&amp;'BMP info'!E63&amp;"
per year"</f>
        <v>pounds of TN reduced
per acre
per year</v>
      </c>
      <c r="J64" s="83"/>
      <c r="K64" s="104">
        <f>'56'!D$34</f>
        <v>2009.75</v>
      </c>
      <c r="L64" s="115" t="str">
        <f>"per "&amp;'BMP info'!E63&amp;"
per year"</f>
        <v>per acre
per year</v>
      </c>
      <c r="M64" s="83"/>
      <c r="N64" s="62">
        <f t="shared" si="13"/>
        <v>2.3450168443836299</v>
      </c>
      <c r="O64" s="63">
        <f t="shared" si="14"/>
        <v>3.2070729429033462</v>
      </c>
      <c r="P64" s="63">
        <f t="shared" si="15"/>
        <v>5.6431146212215451</v>
      </c>
      <c r="Q64" s="115" t="s">
        <v>137</v>
      </c>
      <c r="R64" s="83"/>
      <c r="S64" s="108">
        <f t="shared" si="16"/>
        <v>177.20710407677907</v>
      </c>
      <c r="T64" s="109">
        <f t="shared" si="17"/>
        <v>311.81080624087872</v>
      </c>
      <c r="U64" s="109">
        <f t="shared" si="18"/>
        <v>426.43616927316464</v>
      </c>
      <c r="V64" s="115" t="s">
        <v>190</v>
      </c>
    </row>
    <row r="65" spans="1:22" ht="33.75" customHeight="1">
      <c r="A65" s="8">
        <v>57</v>
      </c>
      <c r="B65" s="16" t="s">
        <v>69</v>
      </c>
      <c r="C65" s="71" t="s">
        <v>67</v>
      </c>
      <c r="D65" s="259" t="s">
        <v>43</v>
      </c>
      <c r="F65" s="73">
        <f>'57'!D$30</f>
        <v>1.9999125823638077E-2</v>
      </c>
      <c r="G65" s="74">
        <f>'57'!D$29</f>
        <v>2.0000030578310436E-2</v>
      </c>
      <c r="H65" s="74">
        <f>'57'!D$27</f>
        <v>2.0000496490017249E-2</v>
      </c>
      <c r="I65" s="115" t="str">
        <f>"pounds of TN reduced
per "&amp;'BMP info'!E64&amp;"
per year"</f>
        <v>pounds of TN reduced
per foot
per year</v>
      </c>
      <c r="J65" s="83"/>
      <c r="K65" s="103">
        <f>'57'!D$34</f>
        <v>41.004999999999995</v>
      </c>
      <c r="L65" s="115" t="str">
        <f>"per "&amp;'BMP info'!E64&amp;"
per year"</f>
        <v>per foot
per year</v>
      </c>
      <c r="M65" s="83"/>
      <c r="N65" s="62">
        <f t="shared" si="13"/>
        <v>0.48772407812798635</v>
      </c>
      <c r="O65" s="63">
        <f t="shared" si="14"/>
        <v>0.48774614262432481</v>
      </c>
      <c r="P65" s="63">
        <f t="shared" si="15"/>
        <v>0.48775750493884285</v>
      </c>
      <c r="Q65" s="115" t="s">
        <v>137</v>
      </c>
      <c r="R65" s="83"/>
      <c r="S65" s="108">
        <f t="shared" si="16"/>
        <v>2050.1991048305536</v>
      </c>
      <c r="T65" s="109">
        <f t="shared" si="17"/>
        <v>2050.2468653457436</v>
      </c>
      <c r="U65" s="109">
        <f t="shared" si="18"/>
        <v>2050.3396179213946</v>
      </c>
      <c r="V65" s="115" t="s">
        <v>190</v>
      </c>
    </row>
    <row r="66" spans="1:22" ht="33.75" customHeight="1">
      <c r="A66" s="252">
        <v>58</v>
      </c>
      <c r="B66" s="16" t="s">
        <v>69</v>
      </c>
      <c r="C66" s="71" t="s">
        <v>288</v>
      </c>
      <c r="D66" s="262" t="s">
        <v>140</v>
      </c>
      <c r="F66" s="73">
        <f>'58'!D$30</f>
        <v>2.6732520829999999</v>
      </c>
      <c r="G66" s="74">
        <f>'58'!D$29</f>
        <v>3.0642945560000001</v>
      </c>
      <c r="H66" s="74">
        <f>'58'!D$27</f>
        <v>6.2786525080000004</v>
      </c>
      <c r="I66" s="115" t="str">
        <f>"pounds of TN reduced
per "&amp;'BMP info'!E65&amp;"
per year"</f>
        <v>pounds of TN reduced
per acre treated
per year</v>
      </c>
      <c r="J66" s="83"/>
      <c r="K66" s="103">
        <f>'58'!D$34</f>
        <v>499.05</v>
      </c>
      <c r="L66" s="115" t="str">
        <f>"per "&amp;'BMP info'!E65&amp;"
per year"</f>
        <v>per acre treated
per year</v>
      </c>
      <c r="M66" s="83"/>
      <c r="N66" s="62">
        <f t="shared" si="13"/>
        <v>5.3566818615369201</v>
      </c>
      <c r="O66" s="63">
        <f t="shared" si="14"/>
        <v>6.140255597635508</v>
      </c>
      <c r="P66" s="63">
        <f t="shared" si="15"/>
        <v>12.581209313696023</v>
      </c>
      <c r="Q66" s="115" t="s">
        <v>137</v>
      </c>
      <c r="R66" s="83"/>
      <c r="S66" s="108">
        <f t="shared" si="16"/>
        <v>79.483615212679965</v>
      </c>
      <c r="T66" s="109">
        <f t="shared" si="17"/>
        <v>162.85966994355746</v>
      </c>
      <c r="U66" s="109">
        <f t="shared" si="18"/>
        <v>186.68273118483904</v>
      </c>
      <c r="V66" s="115" t="s">
        <v>190</v>
      </c>
    </row>
    <row r="67" spans="1:22" ht="33.75" customHeight="1" thickBot="1">
      <c r="A67" s="90">
        <v>59</v>
      </c>
      <c r="B67" s="91" t="s">
        <v>69</v>
      </c>
      <c r="C67" s="270" t="s">
        <v>289</v>
      </c>
      <c r="D67" s="263" t="s">
        <v>46</v>
      </c>
      <c r="F67" s="68">
        <f>'59'!D$30</f>
        <v>1.117973949</v>
      </c>
      <c r="G67" s="61">
        <f>'59'!D$29</f>
        <v>1.842304776</v>
      </c>
      <c r="H67" s="61">
        <f>'59'!D$27</f>
        <v>4.1755099729999996</v>
      </c>
      <c r="I67" s="116" t="str">
        <f>"pounds of TN reduced
per "&amp;'BMP info'!E66&amp;"
per year"</f>
        <v>pounds of TN reduced
per acre treated
per year</v>
      </c>
      <c r="J67" s="83"/>
      <c r="K67" s="105">
        <f>'59'!D$34</f>
        <v>459</v>
      </c>
      <c r="L67" s="116" t="str">
        <f>"per "&amp;'BMP info'!E66&amp;"
per year"</f>
        <v>per acre treated
per year</v>
      </c>
      <c r="M67" s="83"/>
      <c r="N67" s="64">
        <f>IF($K67=0,"-",1000*F67/$K67)</f>
        <v>2.4356730915032681</v>
      </c>
      <c r="O67" s="65">
        <f>IF($K67=0,"-",1000*G67/$K67)</f>
        <v>4.0137358954248361</v>
      </c>
      <c r="P67" s="65">
        <f>IF($K67=0,"-",1000*H67/$K67)</f>
        <v>9.0969716187363812</v>
      </c>
      <c r="Q67" s="116" t="s">
        <v>137</v>
      </c>
      <c r="R67" s="83"/>
      <c r="S67" s="113">
        <f>IF($K67*H67=0,"-",$K67/H67)</f>
        <v>109.92669230058621</v>
      </c>
      <c r="T67" s="114">
        <f>IF($K67*G67=0,"-",$K67/G67)</f>
        <v>249.14444449119748</v>
      </c>
      <c r="U67" s="114">
        <f>IF($K67*F67=0,"-",$K67/F67)</f>
        <v>410.56412844911466</v>
      </c>
      <c r="V67" s="116" t="s">
        <v>190</v>
      </c>
    </row>
    <row r="68" spans="1:22" ht="13.5" thickTop="1"/>
    <row r="69" spans="1:22">
      <c r="A69" s="1" t="s">
        <v>297</v>
      </c>
    </row>
  </sheetData>
  <mergeCells count="5">
    <mergeCell ref="S1:V1"/>
    <mergeCell ref="N1:Q1"/>
    <mergeCell ref="A1:D1"/>
    <mergeCell ref="F1:I1"/>
    <mergeCell ref="K1:L1"/>
  </mergeCells>
  <phoneticPr fontId="1" type="noConversion"/>
  <hyperlinks>
    <hyperlink ref="C36" location="'34'!A1" display="Forest Harvesting Practices"/>
    <hyperlink ref="C38" location="'36a'!A1" display="Septic Connection ― Critical Area"/>
    <hyperlink ref="C39" location="'36b'!A1" display="Septic Connection ― 1,000 feet of stream"/>
    <hyperlink ref="C40" location="'36c'!A1" display="Septic Connection ― other"/>
    <hyperlink ref="C25" location="'23'!A1" display="Nutrient Management"/>
    <hyperlink ref="C15" location="'13'!A1" display="Enhanced Nutrient Management"/>
    <hyperlink ref="C13" location="'11'!A1" display="Decision Agriculture"/>
    <hyperlink ref="C41" location="'37a'!A1" display="Septic Denitrification ― Critical Area"/>
    <hyperlink ref="C42" location="'37b'!A1" display="Septic Denitrification ― 1,000 feet of stream"/>
    <hyperlink ref="C43" location="'37c'!A1" display="Septic Denitrification ― other"/>
    <hyperlink ref="C44" location="'38a'!A1" display="Septic Pumping ― Critical Area"/>
    <hyperlink ref="C45" location="'38b'!A1" display="Septic Pumping ― 1,000 feet of stream"/>
    <hyperlink ref="C46" location="'38c'!A1" display="Septic Pumping ― other"/>
    <hyperlink ref="C5" location="'3'!A1" display="Barnyard Runoff Control"/>
    <hyperlink ref="C6" location="'4'!A1" display="Irrigation Water Capture Reuse"/>
    <hyperlink ref="C7" location="'5'!A1" display="Alternative Crops"/>
    <hyperlink ref="C11" location="'9'!A1" display="Cover Crop Standard Drilled Wheat"/>
    <hyperlink ref="C8" location="'6'!A1" display="Heavy Use Poultry Area Concrete Pads"/>
    <hyperlink ref="C9" location="'7'!A1" display="Soil Conservation and Water Quality Plans"/>
    <hyperlink ref="C3" location="'1'!A1" display="Poultry Litter Treatment (alum, for example)"/>
    <hyperlink ref="C4" location="'2'!A1" display="Animal Waste Management System"/>
    <hyperlink ref="C12" location="'10'!A1" display="Cropland Irrigation Management"/>
    <hyperlink ref="C14" location="'12'!A1" display="Sorbing Materials in Ag Ditches"/>
    <hyperlink ref="C16" location="'14'!A1" display="Forest Buffers"/>
    <hyperlink ref="C17" location="'15'!A1" display="Grass Buffers; Vegetated Open Channel - Agriculture"/>
    <hyperlink ref="C18" location="'16'!A1" display="Horse Pasture Management"/>
    <hyperlink ref="C19" location="'17'!A1" display="Land Retirement to hay without nutrients (HEL)"/>
    <hyperlink ref="C20" location="'18'!A1" display="Land Retirement to pasture (HEL)"/>
    <hyperlink ref="C21" location="'19'!A1" display="Dairy Manure Injection"/>
    <hyperlink ref="C22" location="'20'!A1" display="Loafing Lot Management"/>
    <hyperlink ref="C23" location="'21'!A1" display="Mortality Composters"/>
    <hyperlink ref="C24" location="'22'!A1" display="Non Urban Stream Restoration; Shoreline Erosion Control"/>
    <hyperlink ref="C26" location="'24'!A1" display="Off Stream Watering Without Fencing"/>
    <hyperlink ref="C27" location="'25'!A1" display="Stream Access Control with Fencing"/>
    <hyperlink ref="C28" location="'26'!A1" display="Poultry Litter Injection"/>
    <hyperlink ref="C29" location="'27'!A1" display="Poultry Phytase "/>
    <hyperlink ref="C30" location="'28'!A1" display="Prescribed Grazing"/>
    <hyperlink ref="C32" location="'30'!A1" display="Precision Intensive Rotational Grazing"/>
    <hyperlink ref="C33" location="'31'!A1" display="Water Control Structures"/>
    <hyperlink ref="C34" location="'32'!A1" display="Wetland Restoration"/>
    <hyperlink ref="C31" location="'29'!A1" display="Tree Planting; Vegetative Environmental Buffers ― Poultry"/>
    <hyperlink ref="C10" location="'8'!A1" display="Conservation Tillage - Percent of Acres"/>
    <hyperlink ref="C37" location="'35'!A1" display="Set Permitted Load"/>
    <hyperlink ref="C35" location="'33'!A1" display="Manure Transport"/>
    <hyperlink ref="C55" location="'47'!A1" display="Urban Forest Buffers"/>
    <hyperlink ref="C47" location="'39'!A1" display="Abandoned Mine Reclamation"/>
    <hyperlink ref="C51" location="'43'!A1" display="Erosion and Sediment Control"/>
    <hyperlink ref="C52" location="'44'!A1" display="Erosion and Sediment Control on Extractive, excess applied to all other pervious urban"/>
    <hyperlink ref="C56" location="'48'!A1" display="Forest Conservation"/>
    <hyperlink ref="C57" location="'49'!A1" display="Impervious Urban Surface Reduction"/>
    <hyperlink ref="C65" location="'57'!A1" display="Urban Stream Restoration; Shoreline Erosion Control; Regenerative Stormwater Conveyance"/>
    <hyperlink ref="C64" location="'56'!A1" display="Urban Tree Planting; Urban Tree Canopy"/>
    <hyperlink ref="C63" location="'55'!A1" display="Urban Nutrient Management"/>
    <hyperlink ref="C48" location="'40'!A1" display="Bioretention/raingardens"/>
    <hyperlink ref="C49" location="'41'!A1" display="Bioswale"/>
    <hyperlink ref="C50" location="'42'!A1" display="Dry Detention Ponds and Hydrodynamic Structures"/>
    <hyperlink ref="C53" location="'45'!A1" display="Dry Extended Detention Ponds"/>
    <hyperlink ref="C54" location="'46'!A1" display="Urban Filtering Practices"/>
    <hyperlink ref="C58" location="'50'!A1" display="Urban Infiltration Practices - no sand\veg no under drain"/>
    <hyperlink ref="C59" location="'51'!A1" display="Urban Infiltration Practices - with sandveg no under drain"/>
    <hyperlink ref="C60" location="'52'!A1" display="Permeable Pavement w/ Sand, Veg. - A/B soils, underdrain"/>
    <hyperlink ref="C61" location="'53'!A1" display="MS4 Permit-Required Stormwater Retrofit"/>
    <hyperlink ref="C66" location="'58'!A1" display="Vegetated Open Channel - Urban"/>
    <hyperlink ref="C67" location="'59'!A1" display="Wet Ponds and Wetlands"/>
    <hyperlink ref="C62" location="'54'!A1" display="Street Sweeping 25 times a year-acres (formerly called Street Sweeping Mechanical Monthly)"/>
  </hyperlinks>
  <pageMargins left="0.75" right="0.75" top="1" bottom="1" header="0.5" footer="0.5"/>
  <pageSetup paperSize="5" scale="29" orientation="landscape" r:id="rId1"/>
  <headerFooter alignWithMargins="0"/>
</worksheet>
</file>

<file path=xl/worksheets/sheet40.xml><?xml version="1.0" encoding="utf-8"?>
<worksheet xmlns="http://schemas.openxmlformats.org/spreadsheetml/2006/main" xmlns:r="http://schemas.openxmlformats.org/officeDocument/2006/relationships">
  <sheetPr codeName="Sheet67"/>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Water Control Structures</v>
      </c>
      <c r="I1" s="22"/>
      <c r="J1" s="37" t="s">
        <v>135</v>
      </c>
      <c r="K1" s="50">
        <v>31</v>
      </c>
      <c r="L1" s="22"/>
      <c r="M1" s="22"/>
      <c r="N1" s="22"/>
      <c r="O1" s="22"/>
      <c r="P1" s="22"/>
      <c r="Q1" s="22"/>
      <c r="R1" s="22"/>
    </row>
    <row r="2" spans="1:19" s="20" customFormat="1" ht="12.75" customHeight="1">
      <c r="D2" s="48" t="s">
        <v>3</v>
      </c>
      <c r="E2" s="19" t="str">
        <f>VLOOKUP($K$1,'BMP info'!A:G,4,FALSE)</f>
        <v>WaterContStruc</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efficiency applied</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124.79191582551108</v>
      </c>
      <c r="E13" s="29" t="str">
        <f t="shared" si="0"/>
        <v>-</v>
      </c>
      <c r="F13" s="51" t="str">
        <f t="shared" si="0"/>
        <v>-</v>
      </c>
      <c r="G13" s="305" t="s">
        <v>254</v>
      </c>
      <c r="H13" s="300"/>
      <c r="J13" s="24" t="s">
        <v>9</v>
      </c>
      <c r="K13" s="28">
        <f t="shared" ref="K13:M16" si="1">IF(K27*$D$34=0,"-",1000*K27/$D$34)</f>
        <v>124.79191582551108</v>
      </c>
      <c r="L13" s="29" t="str">
        <f t="shared" si="1"/>
        <v>-</v>
      </c>
      <c r="M13" s="51" t="str">
        <f t="shared" si="1"/>
        <v>-</v>
      </c>
      <c r="N13" s="305" t="s">
        <v>133</v>
      </c>
      <c r="O13" s="300"/>
    </row>
    <row r="14" spans="1:19">
      <c r="C14" s="24" t="s">
        <v>7</v>
      </c>
      <c r="D14" s="31">
        <f t="shared" si="0"/>
        <v>88.178935302158763</v>
      </c>
      <c r="E14" s="32" t="str">
        <f t="shared" si="0"/>
        <v>-</v>
      </c>
      <c r="F14" s="52" t="str">
        <f t="shared" si="0"/>
        <v>-</v>
      </c>
      <c r="G14" s="301"/>
      <c r="H14" s="300"/>
      <c r="J14" s="24" t="s">
        <v>7</v>
      </c>
      <c r="K14" s="31">
        <f t="shared" si="1"/>
        <v>81.017924042322903</v>
      </c>
      <c r="L14" s="32" t="str">
        <f t="shared" si="1"/>
        <v>-</v>
      </c>
      <c r="M14" s="52" t="str">
        <f t="shared" si="1"/>
        <v>-</v>
      </c>
      <c r="N14" s="301"/>
      <c r="O14" s="300"/>
    </row>
    <row r="15" spans="1:19">
      <c r="C15" s="24" t="s">
        <v>8</v>
      </c>
      <c r="D15" s="31">
        <f t="shared" si="0"/>
        <v>81.88275247541651</v>
      </c>
      <c r="E15" s="32" t="str">
        <f t="shared" si="0"/>
        <v>-</v>
      </c>
      <c r="F15" s="52" t="str">
        <f t="shared" si="0"/>
        <v>-</v>
      </c>
      <c r="G15" s="301"/>
      <c r="H15" s="300"/>
      <c r="J15" s="24" t="s">
        <v>8</v>
      </c>
      <c r="K15" s="31">
        <f t="shared" si="1"/>
        <v>71.568984582709277</v>
      </c>
      <c r="L15" s="32" t="str">
        <f t="shared" si="1"/>
        <v>-</v>
      </c>
      <c r="M15" s="52" t="str">
        <f t="shared" si="1"/>
        <v>-</v>
      </c>
      <c r="N15" s="301"/>
      <c r="O15" s="300"/>
    </row>
    <row r="16" spans="1:19" ht="13.5" thickBot="1">
      <c r="C16" s="24" t="s">
        <v>6</v>
      </c>
      <c r="D16" s="34">
        <f t="shared" si="0"/>
        <v>47.093532474893017</v>
      </c>
      <c r="E16" s="35" t="str">
        <f t="shared" si="0"/>
        <v>-</v>
      </c>
      <c r="F16" s="53" t="str">
        <f t="shared" si="0"/>
        <v>-</v>
      </c>
      <c r="G16" s="301"/>
      <c r="H16" s="300"/>
      <c r="J16" s="24" t="s">
        <v>6</v>
      </c>
      <c r="K16" s="34">
        <f t="shared" si="1"/>
        <v>38.765349131487746</v>
      </c>
      <c r="L16" s="35" t="str">
        <f t="shared" si="1"/>
        <v>-</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8.0133395932332583</v>
      </c>
      <c r="E20" s="29" t="str">
        <f t="shared" si="2"/>
        <v>-</v>
      </c>
      <c r="F20" s="51" t="str">
        <f t="shared" si="2"/>
        <v>-</v>
      </c>
      <c r="G20" s="305" t="s">
        <v>253</v>
      </c>
      <c r="H20" s="300"/>
      <c r="J20" s="24" t="s">
        <v>9</v>
      </c>
      <c r="K20" s="28">
        <f t="shared" ref="K20:M23" si="3">IF(K27=0,"-",$D$34/K27)</f>
        <v>8.0133395932332583</v>
      </c>
      <c r="L20" s="29" t="str">
        <f t="shared" si="3"/>
        <v>-</v>
      </c>
      <c r="M20" s="51" t="str">
        <f t="shared" si="3"/>
        <v>-</v>
      </c>
      <c r="N20" s="305" t="s">
        <v>132</v>
      </c>
      <c r="O20" s="300"/>
    </row>
    <row r="21" spans="1:16">
      <c r="C21" s="24" t="s">
        <v>7</v>
      </c>
      <c r="D21" s="31">
        <f t="shared" si="2"/>
        <v>11.340576936808606</v>
      </c>
      <c r="E21" s="32" t="str">
        <f t="shared" si="2"/>
        <v>-</v>
      </c>
      <c r="F21" s="52" t="str">
        <f t="shared" si="2"/>
        <v>-</v>
      </c>
      <c r="G21" s="301"/>
      <c r="H21" s="300"/>
      <c r="J21" s="24" t="s">
        <v>7</v>
      </c>
      <c r="K21" s="31">
        <f t="shared" si="3"/>
        <v>12.342947709664969</v>
      </c>
      <c r="L21" s="32" t="str">
        <f t="shared" si="3"/>
        <v>-</v>
      </c>
      <c r="M21" s="52" t="str">
        <f t="shared" si="3"/>
        <v>-</v>
      </c>
      <c r="N21" s="301"/>
      <c r="O21" s="300"/>
    </row>
    <row r="22" spans="1:16">
      <c r="C22" s="24" t="s">
        <v>8</v>
      </c>
      <c r="D22" s="31">
        <f t="shared" si="2"/>
        <v>12.212584088452912</v>
      </c>
      <c r="E22" s="32" t="str">
        <f t="shared" si="2"/>
        <v>-</v>
      </c>
      <c r="F22" s="52" t="str">
        <f t="shared" si="2"/>
        <v>-</v>
      </c>
      <c r="G22" s="301"/>
      <c r="H22" s="300"/>
      <c r="J22" s="24" t="s">
        <v>8</v>
      </c>
      <c r="K22" s="31">
        <f t="shared" si="3"/>
        <v>13.972533015951091</v>
      </c>
      <c r="L22" s="32" t="str">
        <f t="shared" si="3"/>
        <v>-</v>
      </c>
      <c r="M22" s="52" t="str">
        <f t="shared" si="3"/>
        <v>-</v>
      </c>
      <c r="N22" s="301"/>
      <c r="O22" s="300"/>
    </row>
    <row r="23" spans="1:16" ht="13.5" thickBot="1">
      <c r="C23" s="24" t="s">
        <v>6</v>
      </c>
      <c r="D23" s="34">
        <f t="shared" si="2"/>
        <v>21.234338293334233</v>
      </c>
      <c r="E23" s="35" t="str">
        <f t="shared" si="2"/>
        <v>-</v>
      </c>
      <c r="F23" s="53" t="str">
        <f t="shared" si="2"/>
        <v>-</v>
      </c>
      <c r="G23" s="301"/>
      <c r="H23" s="300"/>
      <c r="J23" s="24" t="s">
        <v>6</v>
      </c>
      <c r="K23" s="34">
        <f t="shared" si="3"/>
        <v>25.796233554046204</v>
      </c>
      <c r="L23" s="35" t="str">
        <f t="shared" si="3"/>
        <v>-</v>
      </c>
      <c r="M23" s="53" t="str">
        <f t="shared" si="3"/>
        <v>-</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6.4891796229265761</v>
      </c>
      <c r="E27" s="209">
        <v>0</v>
      </c>
      <c r="F27" s="210">
        <v>0</v>
      </c>
      <c r="G27" s="305" t="str">
        <f>"EOS pounds removed per '"&amp;E3&amp;"' of practice per year"</f>
        <v>EOS pounds removed per 'acre' of practice per year</v>
      </c>
      <c r="H27" s="300"/>
      <c r="J27" s="24" t="s">
        <v>9</v>
      </c>
      <c r="K27" s="56">
        <v>6.4891796229265761</v>
      </c>
      <c r="L27" s="209">
        <v>0</v>
      </c>
      <c r="M27" s="210">
        <v>0</v>
      </c>
      <c r="N27" s="299" t="str">
        <f>"delivered pounds removed per '"&amp;E3&amp;"' of practice per year"</f>
        <v>delivered pounds removed per 'acre' of practice per year</v>
      </c>
      <c r="O27" s="300"/>
      <c r="P27" s="204"/>
    </row>
    <row r="28" spans="1:16">
      <c r="C28" s="24" t="s">
        <v>7</v>
      </c>
      <c r="D28" s="211">
        <v>4.585304635712256</v>
      </c>
      <c r="E28" s="212">
        <v>0</v>
      </c>
      <c r="F28" s="213">
        <v>0</v>
      </c>
      <c r="G28" s="301"/>
      <c r="H28" s="300"/>
      <c r="J28" s="24" t="s">
        <v>7</v>
      </c>
      <c r="K28" s="57">
        <v>4.2129320502007914</v>
      </c>
      <c r="L28" s="212">
        <v>0</v>
      </c>
      <c r="M28" s="213">
        <v>0</v>
      </c>
      <c r="N28" s="301"/>
      <c r="O28" s="300"/>
      <c r="P28" s="204"/>
    </row>
    <row r="29" spans="1:16">
      <c r="C29" s="24" t="s">
        <v>8</v>
      </c>
      <c r="D29" s="211">
        <v>4.2579031287216589</v>
      </c>
      <c r="E29" s="212">
        <v>0</v>
      </c>
      <c r="F29" s="213">
        <v>0</v>
      </c>
      <c r="G29" s="301"/>
      <c r="H29" s="300"/>
      <c r="J29" s="24" t="s">
        <v>8</v>
      </c>
      <c r="K29" s="57">
        <v>3.7215871983008824</v>
      </c>
      <c r="L29" s="212">
        <v>0</v>
      </c>
      <c r="M29" s="213">
        <v>0</v>
      </c>
      <c r="N29" s="301"/>
      <c r="O29" s="300"/>
      <c r="P29" s="204"/>
    </row>
    <row r="30" spans="1:16" ht="13.5" thickBot="1">
      <c r="C30" s="24" t="s">
        <v>6</v>
      </c>
      <c r="D30" s="214">
        <v>2.4488636886944368</v>
      </c>
      <c r="E30" s="215">
        <v>0</v>
      </c>
      <c r="F30" s="216">
        <v>0</v>
      </c>
      <c r="G30" s="301"/>
      <c r="H30" s="300"/>
      <c r="J30" s="24" t="s">
        <v>6</v>
      </c>
      <c r="K30" s="58">
        <v>2.0157981548373627</v>
      </c>
      <c r="L30" s="215">
        <v>0</v>
      </c>
      <c r="M30" s="216">
        <v>0</v>
      </c>
      <c r="N30" s="301"/>
      <c r="O30" s="300"/>
      <c r="P30" s="204"/>
    </row>
    <row r="31" spans="1:16" ht="13.5" thickBot="1"/>
    <row r="32" spans="1:16" s="42" customFormat="1">
      <c r="A32" s="86" t="s">
        <v>1</v>
      </c>
    </row>
    <row r="33" spans="1:12" ht="5.25" customHeight="1" thickBot="1"/>
    <row r="34" spans="1:12" ht="13.5" thickBot="1">
      <c r="C34" s="24" t="s">
        <v>11</v>
      </c>
      <c r="D34" s="46">
        <f>-PMT(D39,D38,D36)+D37</f>
        <v>52</v>
      </c>
      <c r="E34" s="18" t="str">
        <f>"$ per '"&amp;E3&amp;"' of practice per year"</f>
        <v>$ per 'acre' of practice per year</v>
      </c>
      <c r="I34" s="82"/>
      <c r="J34" s="217" t="s">
        <v>160</v>
      </c>
      <c r="K34" s="217" t="s">
        <v>164</v>
      </c>
      <c r="L34" s="219" t="s">
        <v>165</v>
      </c>
    </row>
    <row r="35" spans="1:12" ht="5.25" customHeight="1" thickBot="1">
      <c r="C35" s="24"/>
      <c r="D35" s="47"/>
      <c r="E35" s="18"/>
      <c r="I35" s="78"/>
      <c r="J35" s="220"/>
      <c r="K35" s="220"/>
      <c r="L35" s="221"/>
    </row>
    <row r="36" spans="1:12">
      <c r="C36" s="24" t="s">
        <v>10</v>
      </c>
      <c r="D36" s="38">
        <f>K36</f>
        <v>520</v>
      </c>
      <c r="E36" s="18" t="str">
        <f>"$ per '"&amp;E3&amp;"' of practice"</f>
        <v>$ per 'acre' of practice</v>
      </c>
      <c r="I36" s="78" t="s">
        <v>162</v>
      </c>
      <c r="J36" s="236">
        <v>24</v>
      </c>
      <c r="K36" s="235">
        <v>520</v>
      </c>
      <c r="L36" s="237">
        <f>(J36/J38+K36/K38)/2</f>
        <v>26.8</v>
      </c>
    </row>
    <row r="37" spans="1:12">
      <c r="C37" s="24" t="s">
        <v>12</v>
      </c>
      <c r="D37" s="39">
        <f>K37</f>
        <v>0</v>
      </c>
      <c r="E37" s="18" t="str">
        <f>"$ per '"&amp;E3&amp;"' of practice per year"</f>
        <v>$ per 'acre' of practice per year</v>
      </c>
      <c r="I37" s="78" t="s">
        <v>161</v>
      </c>
      <c r="J37" s="236">
        <v>0</v>
      </c>
      <c r="K37" s="235">
        <v>0</v>
      </c>
      <c r="L37" s="237">
        <f>AVERAGE(J37:K37)</f>
        <v>0</v>
      </c>
    </row>
    <row r="38" spans="1:12">
      <c r="C38" s="24" t="s">
        <v>13</v>
      </c>
      <c r="D38" s="249">
        <f>K38</f>
        <v>10</v>
      </c>
      <c r="E38" s="18" t="s">
        <v>15</v>
      </c>
      <c r="I38" s="78" t="s">
        <v>163</v>
      </c>
      <c r="J38" s="245">
        <v>15</v>
      </c>
      <c r="K38" s="244">
        <v>10</v>
      </c>
      <c r="L38" s="246">
        <v>15</v>
      </c>
    </row>
    <row r="39" spans="1:12" ht="13.5" thickBot="1">
      <c r="C39" s="24" t="s">
        <v>14</v>
      </c>
      <c r="D39" s="41">
        <f>Summary!C35</f>
        <v>0</v>
      </c>
      <c r="E39" s="18" t="s">
        <v>16</v>
      </c>
      <c r="I39" s="80" t="s">
        <v>166</v>
      </c>
      <c r="J39" s="239">
        <f>J37+(J36/J38)</f>
        <v>1.6</v>
      </c>
      <c r="K39" s="238">
        <f>K37+(K36/K38)</f>
        <v>52</v>
      </c>
      <c r="L39" s="240">
        <f>AVERAGE(J39:K39)</f>
        <v>26.8</v>
      </c>
    </row>
    <row r="40" spans="1:12">
      <c r="F40" s="234"/>
    </row>
    <row r="41" spans="1:12">
      <c r="I41" s="304" t="s">
        <v>268</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41.xml><?xml version="1.0" encoding="utf-8"?>
<worksheet xmlns="http://schemas.openxmlformats.org/spreadsheetml/2006/main" xmlns:r="http://schemas.openxmlformats.org/officeDocument/2006/relationships">
  <sheetPr codeName="Sheet68"/>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0" style="17" bestFit="1" customWidth="1"/>
    <col min="13" max="16384" width="9.140625" style="17"/>
  </cols>
  <sheetData>
    <row r="1" spans="1:19" s="20" customFormat="1" ht="21" customHeight="1">
      <c r="A1" s="302" t="s">
        <v>136</v>
      </c>
      <c r="B1" s="303"/>
      <c r="D1" s="25" t="s">
        <v>134</v>
      </c>
      <c r="E1" s="89" t="str">
        <f>VLOOKUP($K$1,'BMP info'!A:G,3,FALSE)</f>
        <v>Wetland Restoration</v>
      </c>
      <c r="I1" s="22"/>
      <c r="J1" s="37" t="s">
        <v>135</v>
      </c>
      <c r="K1" s="50">
        <v>32</v>
      </c>
      <c r="L1" s="22"/>
      <c r="M1" s="22"/>
      <c r="N1" s="22"/>
      <c r="O1" s="22"/>
      <c r="P1" s="22"/>
      <c r="Q1" s="22"/>
      <c r="R1" s="22"/>
    </row>
    <row r="2" spans="1:19" s="20" customFormat="1" ht="12.75" customHeight="1">
      <c r="D2" s="48" t="s">
        <v>3</v>
      </c>
      <c r="E2" s="19" t="str">
        <f>VLOOKUP($K$1,'BMP info'!A:G,4,FALSE)</f>
        <v>WetlandRestore</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lu change
u/l treatment</v>
      </c>
      <c r="I4" s="23"/>
      <c r="K4" s="49"/>
      <c r="L4" s="23"/>
      <c r="M4" s="23"/>
      <c r="N4" s="23"/>
      <c r="O4" s="23"/>
      <c r="P4" s="23"/>
      <c r="Q4" s="23"/>
      <c r="R4" s="23"/>
      <c r="S4" s="23"/>
    </row>
    <row r="5" spans="1:19" s="20" customFormat="1">
      <c r="D5" s="48" t="s">
        <v>4</v>
      </c>
      <c r="E5" s="19" t="str">
        <f>VLOOKUP($K$1,'BMP info'!A:G,7,FALSE)</f>
        <v>Combo</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138.83714230843097</v>
      </c>
      <c r="E13" s="29">
        <f t="shared" si="0"/>
        <v>16.37699251008258</v>
      </c>
      <c r="F13" s="51">
        <f t="shared" si="0"/>
        <v>1849.4334549644709</v>
      </c>
      <c r="G13" s="305" t="s">
        <v>254</v>
      </c>
      <c r="H13" s="300"/>
      <c r="J13" s="24" t="s">
        <v>9</v>
      </c>
      <c r="K13" s="28">
        <f t="shared" ref="K13:M16" si="1">IF(K27*$D$34=0,"-",1000*K27/$D$34)</f>
        <v>135.29383522181678</v>
      </c>
      <c r="L13" s="29">
        <f t="shared" si="1"/>
        <v>13.957173036297293</v>
      </c>
      <c r="M13" s="51">
        <f t="shared" si="1"/>
        <v>1642.0203572114463</v>
      </c>
      <c r="N13" s="305" t="s">
        <v>133</v>
      </c>
      <c r="O13" s="300"/>
    </row>
    <row r="14" spans="1:19">
      <c r="C14" s="24" t="s">
        <v>7</v>
      </c>
      <c r="D14" s="31">
        <f t="shared" si="0"/>
        <v>76.872479354714812</v>
      </c>
      <c r="E14" s="32">
        <f t="shared" si="0"/>
        <v>6.4816593047820241</v>
      </c>
      <c r="F14" s="52">
        <f t="shared" si="0"/>
        <v>989.53332053005568</v>
      </c>
      <c r="G14" s="301"/>
      <c r="H14" s="300"/>
      <c r="J14" s="24" t="s">
        <v>7</v>
      </c>
      <c r="K14" s="31">
        <f t="shared" si="1"/>
        <v>67.754945265988098</v>
      </c>
      <c r="L14" s="32">
        <f t="shared" si="1"/>
        <v>6.0063376224313423</v>
      </c>
      <c r="M14" s="52">
        <f t="shared" si="1"/>
        <v>954.9644709045516</v>
      </c>
      <c r="N14" s="301"/>
      <c r="O14" s="300"/>
    </row>
    <row r="15" spans="1:19">
      <c r="C15" s="24" t="s">
        <v>8</v>
      </c>
      <c r="D15" s="31">
        <f t="shared" si="0"/>
        <v>48.655655847897066</v>
      </c>
      <c r="E15" s="32">
        <f t="shared" si="0"/>
        <v>5.4013827539850201</v>
      </c>
      <c r="F15" s="52">
        <f t="shared" si="0"/>
        <v>600.63376224313424</v>
      </c>
      <c r="G15" s="301"/>
      <c r="H15" s="300"/>
      <c r="J15" s="24" t="s">
        <v>8</v>
      </c>
      <c r="K15" s="31">
        <f t="shared" si="1"/>
        <v>48.007489917418859</v>
      </c>
      <c r="L15" s="32">
        <f t="shared" si="1"/>
        <v>4.2346840791242562</v>
      </c>
      <c r="M15" s="52">
        <f t="shared" si="1"/>
        <v>600.63376224313424</v>
      </c>
      <c r="N15" s="301"/>
      <c r="O15" s="300"/>
    </row>
    <row r="16" spans="1:19" ht="13.5" thickBot="1">
      <c r="C16" s="24" t="s">
        <v>6</v>
      </c>
      <c r="D16" s="34">
        <f t="shared" si="0"/>
        <v>34.828115997695413</v>
      </c>
      <c r="E16" s="35">
        <f t="shared" si="0"/>
        <v>3.4136739005185328</v>
      </c>
      <c r="F16" s="53">
        <f t="shared" si="0"/>
        <v>354.3307086614173</v>
      </c>
      <c r="G16" s="301"/>
      <c r="H16" s="300"/>
      <c r="J16" s="24" t="s">
        <v>6</v>
      </c>
      <c r="K16" s="34">
        <f t="shared" si="1"/>
        <v>31.284808911081239</v>
      </c>
      <c r="L16" s="35">
        <f t="shared" si="1"/>
        <v>2.938352218167851</v>
      </c>
      <c r="M16" s="53">
        <f t="shared" si="1"/>
        <v>354.3307086614173</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7.2026835425528226</v>
      </c>
      <c r="E20" s="29">
        <f t="shared" si="2"/>
        <v>61.061272354148343</v>
      </c>
      <c r="F20" s="51">
        <f t="shared" si="2"/>
        <v>0.54070612668743512</v>
      </c>
      <c r="G20" s="305" t="s">
        <v>253</v>
      </c>
      <c r="H20" s="300"/>
      <c r="J20" s="24" t="s">
        <v>9</v>
      </c>
      <c r="K20" s="28">
        <f t="shared" ref="K20:M23" si="3">IF(K27=0,"-",$D$34/K27)</f>
        <v>7.391319777139004</v>
      </c>
      <c r="L20" s="29">
        <f t="shared" si="3"/>
        <v>71.647746818025453</v>
      </c>
      <c r="M20" s="51">
        <f t="shared" si="3"/>
        <v>0.60900584795321633</v>
      </c>
      <c r="N20" s="305" t="s">
        <v>132</v>
      </c>
      <c r="O20" s="300"/>
    </row>
    <row r="21" spans="1:16">
      <c r="C21" s="24" t="s">
        <v>7</v>
      </c>
      <c r="D21" s="31">
        <f t="shared" si="2"/>
        <v>13.008556617325588</v>
      </c>
      <c r="E21" s="32">
        <f t="shared" si="2"/>
        <v>154.28148148148148</v>
      </c>
      <c r="F21" s="52">
        <f t="shared" si="2"/>
        <v>1.010577389616691</v>
      </c>
      <c r="G21" s="301"/>
      <c r="H21" s="300"/>
      <c r="J21" s="24" t="s">
        <v>7</v>
      </c>
      <c r="K21" s="31">
        <f t="shared" si="3"/>
        <v>14.75907029478458</v>
      </c>
      <c r="L21" s="32">
        <f t="shared" si="3"/>
        <v>166.49080735411673</v>
      </c>
      <c r="M21" s="52">
        <f t="shared" si="3"/>
        <v>1.0471593765711413</v>
      </c>
      <c r="N21" s="301"/>
      <c r="O21" s="300"/>
    </row>
    <row r="22" spans="1:16">
      <c r="C22" s="24" t="s">
        <v>8</v>
      </c>
      <c r="D22" s="31">
        <f t="shared" si="2"/>
        <v>20.55259522399842</v>
      </c>
      <c r="E22" s="32">
        <f t="shared" si="2"/>
        <v>185.13777777777779</v>
      </c>
      <c r="F22" s="52">
        <f t="shared" si="2"/>
        <v>1.664908073541167</v>
      </c>
      <c r="G22" s="301"/>
      <c r="H22" s="300"/>
      <c r="J22" s="24" t="s">
        <v>8</v>
      </c>
      <c r="K22" s="31">
        <f t="shared" si="3"/>
        <v>20.830083008300832</v>
      </c>
      <c r="L22" s="32">
        <f t="shared" si="3"/>
        <v>236.14512471655328</v>
      </c>
      <c r="M22" s="52">
        <f t="shared" si="3"/>
        <v>1.664908073541167</v>
      </c>
      <c r="N22" s="301"/>
      <c r="O22" s="300"/>
    </row>
    <row r="23" spans="1:16" ht="13.5" thickBot="1">
      <c r="C23" s="24" t="s">
        <v>6</v>
      </c>
      <c r="D23" s="34">
        <f t="shared" si="2"/>
        <v>28.712434518886131</v>
      </c>
      <c r="E23" s="35">
        <f t="shared" si="2"/>
        <v>292.93952180028128</v>
      </c>
      <c r="F23" s="53">
        <f t="shared" si="2"/>
        <v>2.822222222222222</v>
      </c>
      <c r="G23" s="301"/>
      <c r="H23" s="300"/>
      <c r="J23" s="24" t="s">
        <v>6</v>
      </c>
      <c r="K23" s="34">
        <f t="shared" si="3"/>
        <v>31.964395334561079</v>
      </c>
      <c r="L23" s="35">
        <f t="shared" si="3"/>
        <v>340.32679738562086</v>
      </c>
      <c r="M23" s="53">
        <f t="shared" si="3"/>
        <v>2.822222222222222</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32.130000000000003</v>
      </c>
      <c r="E27" s="209">
        <v>3.79</v>
      </c>
      <c r="F27" s="210">
        <v>428</v>
      </c>
      <c r="G27" s="305" t="str">
        <f>"EOS pounds removed per '"&amp;E3&amp;"' of practice per year"</f>
        <v>EOS pounds removed per 'acre' of practice per year</v>
      </c>
      <c r="H27" s="300"/>
      <c r="J27" s="24" t="s">
        <v>9</v>
      </c>
      <c r="K27" s="56">
        <v>31.31</v>
      </c>
      <c r="L27" s="209">
        <v>3.23</v>
      </c>
      <c r="M27" s="210">
        <v>380</v>
      </c>
      <c r="N27" s="299" t="str">
        <f>"delivered pounds removed per '"&amp;E3&amp;"' of practice per year"</f>
        <v>delivered pounds removed per 'acre' of practice per year</v>
      </c>
      <c r="O27" s="300"/>
      <c r="P27" s="204"/>
    </row>
    <row r="28" spans="1:16">
      <c r="C28" s="24" t="s">
        <v>7</v>
      </c>
      <c r="D28" s="211">
        <v>17.79</v>
      </c>
      <c r="E28" s="212">
        <v>1.5</v>
      </c>
      <c r="F28" s="213">
        <v>229</v>
      </c>
      <c r="G28" s="301"/>
      <c r="H28" s="300"/>
      <c r="J28" s="24" t="s">
        <v>7</v>
      </c>
      <c r="K28" s="57">
        <v>15.68</v>
      </c>
      <c r="L28" s="212">
        <v>1.39</v>
      </c>
      <c r="M28" s="213">
        <v>221</v>
      </c>
      <c r="N28" s="301"/>
      <c r="O28" s="300"/>
      <c r="P28" s="204"/>
    </row>
    <row r="29" spans="1:16">
      <c r="C29" s="24" t="s">
        <v>8</v>
      </c>
      <c r="D29" s="211">
        <v>11.26</v>
      </c>
      <c r="E29" s="212">
        <v>1.25</v>
      </c>
      <c r="F29" s="213">
        <v>139</v>
      </c>
      <c r="G29" s="301"/>
      <c r="H29" s="300"/>
      <c r="J29" s="24" t="s">
        <v>8</v>
      </c>
      <c r="K29" s="57">
        <v>11.11</v>
      </c>
      <c r="L29" s="212">
        <v>0.98</v>
      </c>
      <c r="M29" s="213">
        <v>139</v>
      </c>
      <c r="N29" s="301"/>
      <c r="O29" s="300"/>
      <c r="P29" s="204"/>
    </row>
    <row r="30" spans="1:16" ht="13.5" thickBot="1">
      <c r="C30" s="24" t="s">
        <v>6</v>
      </c>
      <c r="D30" s="214">
        <v>8.06</v>
      </c>
      <c r="E30" s="215">
        <v>0.79</v>
      </c>
      <c r="F30" s="216">
        <v>82</v>
      </c>
      <c r="G30" s="301"/>
      <c r="H30" s="300"/>
      <c r="J30" s="24" t="s">
        <v>6</v>
      </c>
      <c r="K30" s="58">
        <v>7.24</v>
      </c>
      <c r="L30" s="215">
        <v>0.68</v>
      </c>
      <c r="M30" s="216">
        <v>82</v>
      </c>
      <c r="N30" s="301"/>
      <c r="O30" s="300"/>
      <c r="P30" s="204"/>
    </row>
    <row r="31" spans="1:16" ht="13.5" thickBot="1"/>
    <row r="32" spans="1:16" s="42" customFormat="1">
      <c r="A32" s="86" t="s">
        <v>1</v>
      </c>
    </row>
    <row r="33" spans="1:13" ht="5.25" customHeight="1" thickBot="1"/>
    <row r="34" spans="1:13" ht="13.5" thickBot="1">
      <c r="C34" s="24" t="s">
        <v>11</v>
      </c>
      <c r="D34" s="46">
        <f>-PMT(D39,D38,D36)+D37</f>
        <v>231.42222222222222</v>
      </c>
      <c r="E34" s="18" t="str">
        <f>"$ per '"&amp;E3&amp;"' of practice per year"</f>
        <v>$ per 'acre' of practice per year</v>
      </c>
      <c r="I34" s="82"/>
      <c r="J34" s="217" t="s">
        <v>160</v>
      </c>
      <c r="K34" s="217" t="s">
        <v>164</v>
      </c>
      <c r="L34" s="217" t="s">
        <v>167</v>
      </c>
      <c r="M34" s="81" t="s">
        <v>165</v>
      </c>
    </row>
    <row r="35" spans="1:13" ht="5.25" customHeight="1" thickBot="1">
      <c r="C35" s="24"/>
      <c r="D35" s="47"/>
      <c r="E35" s="18"/>
      <c r="I35" s="78"/>
      <c r="J35" s="220"/>
      <c r="K35" s="220"/>
      <c r="L35" s="220"/>
      <c r="M35" s="79"/>
    </row>
    <row r="36" spans="1:13">
      <c r="C36" s="24" t="s">
        <v>10</v>
      </c>
      <c r="D36" s="38">
        <f>M36</f>
        <v>2846.3333333333335</v>
      </c>
      <c r="E36" s="18" t="str">
        <f>"$ per '"&amp;E3&amp;"' of practice"</f>
        <v>$ per 'acre' of practice</v>
      </c>
      <c r="I36" s="78" t="s">
        <v>162</v>
      </c>
      <c r="J36" s="236">
        <v>3152</v>
      </c>
      <c r="K36" s="236">
        <v>3375</v>
      </c>
      <c r="L36" s="236">
        <v>2012</v>
      </c>
      <c r="M36" s="166">
        <f>AVERAGE(J36:L36)</f>
        <v>2846.3333333333335</v>
      </c>
    </row>
    <row r="37" spans="1:13">
      <c r="C37" s="24" t="s">
        <v>12</v>
      </c>
      <c r="D37" s="39">
        <f>M37</f>
        <v>41.666666666666664</v>
      </c>
      <c r="E37" s="18" t="str">
        <f>"$ per '"&amp;E3&amp;"' of practice per year"</f>
        <v>$ per 'acre' of practice per year</v>
      </c>
      <c r="I37" s="78" t="s">
        <v>161</v>
      </c>
      <c r="J37" s="236">
        <v>0</v>
      </c>
      <c r="K37" s="236">
        <v>0</v>
      </c>
      <c r="L37" s="236">
        <v>125</v>
      </c>
      <c r="M37" s="166">
        <f>AVERAGE(J37:L37)</f>
        <v>41.666666666666664</v>
      </c>
    </row>
    <row r="38" spans="1:13">
      <c r="C38" s="24" t="s">
        <v>13</v>
      </c>
      <c r="D38" s="40">
        <v>15</v>
      </c>
      <c r="E38" s="18" t="s">
        <v>15</v>
      </c>
      <c r="I38" s="78" t="s">
        <v>163</v>
      </c>
      <c r="J38" s="245">
        <v>15</v>
      </c>
      <c r="K38" s="245">
        <v>15</v>
      </c>
      <c r="L38" s="245">
        <v>10</v>
      </c>
      <c r="M38" s="166">
        <v>15</v>
      </c>
    </row>
    <row r="39" spans="1:13" ht="13.5" thickBot="1">
      <c r="C39" s="24" t="s">
        <v>14</v>
      </c>
      <c r="D39" s="41">
        <f>Summary!C35</f>
        <v>0</v>
      </c>
      <c r="E39" s="18" t="s">
        <v>16</v>
      </c>
      <c r="I39" s="80" t="s">
        <v>166</v>
      </c>
      <c r="J39" s="239">
        <f>J37+(J36/J38)</f>
        <v>210.13333333333333</v>
      </c>
      <c r="K39" s="239">
        <f>K37+(K36/K38)</f>
        <v>225</v>
      </c>
      <c r="L39" s="239">
        <f>L37+(L36/L38)</f>
        <v>326.2</v>
      </c>
      <c r="M39" s="167">
        <f>M37+(M36/M38)</f>
        <v>231.42222222222222</v>
      </c>
    </row>
    <row r="40" spans="1:13">
      <c r="F40" s="234"/>
    </row>
    <row r="41" spans="1:13">
      <c r="I41" s="304" t="s">
        <v>197</v>
      </c>
      <c r="J41" s="304"/>
      <c r="K41" s="304"/>
      <c r="L41" s="304"/>
    </row>
    <row r="42" spans="1:13">
      <c r="I42" s="304"/>
      <c r="J42" s="304"/>
      <c r="K42" s="304"/>
      <c r="L42" s="304"/>
    </row>
    <row r="43" spans="1:13">
      <c r="I43" s="304"/>
      <c r="J43" s="304"/>
      <c r="K43" s="304"/>
      <c r="L43" s="304"/>
    </row>
    <row r="44" spans="1:13">
      <c r="I44" s="304"/>
      <c r="J44" s="304"/>
      <c r="K44" s="304"/>
      <c r="L44" s="304"/>
    </row>
    <row r="45" spans="1:13">
      <c r="I45" s="304"/>
      <c r="J45" s="304"/>
      <c r="K45" s="304"/>
      <c r="L45" s="304"/>
    </row>
    <row r="48" spans="1:13">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42.xml><?xml version="1.0" encoding="utf-8"?>
<worksheet xmlns="http://schemas.openxmlformats.org/spreadsheetml/2006/main" xmlns:r="http://schemas.openxmlformats.org/officeDocument/2006/relationships">
  <sheetPr codeName="Sheet27"/>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Manure Transport</v>
      </c>
      <c r="I1" s="22"/>
      <c r="J1" s="37" t="s">
        <v>135</v>
      </c>
      <c r="K1" s="50">
        <v>33</v>
      </c>
      <c r="L1" s="22"/>
      <c r="M1" s="22"/>
      <c r="N1" s="22"/>
      <c r="O1" s="22"/>
      <c r="P1" s="22"/>
      <c r="Q1" s="22"/>
      <c r="R1" s="22"/>
    </row>
    <row r="2" spans="1:19" s="20" customFormat="1" ht="12.75" customHeight="1">
      <c r="D2" s="48" t="s">
        <v>3</v>
      </c>
      <c r="E2" s="19" t="str">
        <f>VLOOKUP($K$1,'BMP info'!A:G,4,FALSE)</f>
        <v>ManureTransport</v>
      </c>
      <c r="I2" s="23"/>
      <c r="L2" s="23"/>
      <c r="M2" s="23"/>
      <c r="N2" s="23"/>
      <c r="O2" s="23"/>
      <c r="P2" s="23"/>
      <c r="Q2" s="23"/>
      <c r="R2" s="23"/>
      <c r="S2" s="23"/>
    </row>
    <row r="3" spans="1:19" s="20" customFormat="1" ht="12.75" customHeight="1">
      <c r="D3" s="48" t="s">
        <v>79</v>
      </c>
      <c r="E3" s="19" t="str">
        <f>VLOOKUP($K$1,'BMP info'!A:G,5,FALSE)</f>
        <v>ton</v>
      </c>
      <c r="I3" s="23"/>
      <c r="K3" s="49"/>
      <c r="L3" s="23"/>
      <c r="M3" s="23"/>
      <c r="N3" s="23"/>
      <c r="O3" s="23"/>
      <c r="P3" s="23"/>
      <c r="Q3" s="23"/>
      <c r="R3" s="23"/>
      <c r="S3" s="23"/>
    </row>
    <row r="4" spans="1:19" s="20" customFormat="1" ht="12.75" customHeight="1">
      <c r="D4" s="48" t="s">
        <v>170</v>
      </c>
      <c r="E4" s="19" t="str">
        <f>VLOOKUP($K$1,'BMP info'!A:G,6,FALSE)</f>
        <v>manure transport</v>
      </c>
      <c r="I4" s="23"/>
      <c r="K4" s="49"/>
      <c r="L4" s="23"/>
      <c r="M4" s="23"/>
      <c r="N4" s="23"/>
      <c r="O4" s="23"/>
      <c r="P4" s="23"/>
      <c r="Q4" s="23"/>
      <c r="R4" s="23"/>
      <c r="S4" s="23"/>
    </row>
    <row r="5" spans="1:19" s="20" customFormat="1">
      <c r="D5" s="48" t="s">
        <v>4</v>
      </c>
      <c r="E5" s="19" t="str">
        <f>VLOOKUP($K$1,'BMP info'!A:G,7,FALSE)</f>
        <v>P5.3.2</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218.1974742119717</v>
      </c>
      <c r="E13" s="29">
        <f t="shared" si="0"/>
        <v>25.849451204966599</v>
      </c>
      <c r="F13" s="51" t="str">
        <f t="shared" si="0"/>
        <v>-</v>
      </c>
      <c r="G13" s="305" t="s">
        <v>254</v>
      </c>
      <c r="H13" s="300"/>
      <c r="J13" s="24" t="s">
        <v>9</v>
      </c>
      <c r="K13" s="28">
        <f t="shared" ref="K13:M16" si="1">IF(K27*$D$34=0,"-",1000*K27/$D$34)</f>
        <v>187.7436806391818</v>
      </c>
      <c r="L13" s="29">
        <f t="shared" si="1"/>
        <v>25.752796632752588</v>
      </c>
      <c r="M13" s="51" t="str">
        <f t="shared" si="1"/>
        <v>-</v>
      </c>
      <c r="N13" s="305" t="s">
        <v>133</v>
      </c>
      <c r="O13" s="300"/>
    </row>
    <row r="14" spans="1:19">
      <c r="C14" s="24" t="s">
        <v>7</v>
      </c>
      <c r="D14" s="31">
        <f t="shared" si="0"/>
        <v>107.28548067565099</v>
      </c>
      <c r="E14" s="32">
        <f t="shared" si="0"/>
        <v>12.3952608172899</v>
      </c>
      <c r="F14" s="52" t="str">
        <f t="shared" si="0"/>
        <v>-</v>
      </c>
      <c r="G14" s="301"/>
      <c r="H14" s="300"/>
      <c r="J14" s="24" t="s">
        <v>7</v>
      </c>
      <c r="K14" s="31">
        <f t="shared" si="1"/>
        <v>98.401748025507857</v>
      </c>
      <c r="L14" s="32">
        <f t="shared" si="1"/>
        <v>11.919820892063042</v>
      </c>
      <c r="M14" s="52" t="str">
        <f t="shared" si="1"/>
        <v>-</v>
      </c>
      <c r="N14" s="301"/>
      <c r="O14" s="300"/>
    </row>
    <row r="15" spans="1:19">
      <c r="C15" s="24" t="s">
        <v>8</v>
      </c>
      <c r="D15" s="31">
        <f t="shared" si="0"/>
        <v>107.6118567425343</v>
      </c>
      <c r="E15" s="32">
        <f t="shared" si="0"/>
        <v>10.432795702037668</v>
      </c>
      <c r="F15" s="52" t="str">
        <f t="shared" si="0"/>
        <v>-</v>
      </c>
      <c r="G15" s="301"/>
      <c r="H15" s="300"/>
      <c r="J15" s="24" t="s">
        <v>8</v>
      </c>
      <c r="K15" s="31">
        <f t="shared" si="1"/>
        <v>102.51551941526553</v>
      </c>
      <c r="L15" s="32">
        <f t="shared" si="1"/>
        <v>10.125722264757893</v>
      </c>
      <c r="M15" s="52" t="str">
        <f t="shared" si="1"/>
        <v>-</v>
      </c>
      <c r="N15" s="301"/>
      <c r="O15" s="300"/>
    </row>
    <row r="16" spans="1:19" ht="13.5" thickBot="1">
      <c r="C16" s="24" t="s">
        <v>6</v>
      </c>
      <c r="D16" s="34">
        <f t="shared" si="0"/>
        <v>25.942053031368289</v>
      </c>
      <c r="E16" s="35">
        <f t="shared" si="0"/>
        <v>2.0987987923430205</v>
      </c>
      <c r="F16" s="53" t="str">
        <f t="shared" si="0"/>
        <v>-</v>
      </c>
      <c r="G16" s="301"/>
      <c r="H16" s="300"/>
      <c r="J16" s="24" t="s">
        <v>6</v>
      </c>
      <c r="K16" s="34">
        <f t="shared" si="1"/>
        <v>24.711532502261129</v>
      </c>
      <c r="L16" s="35">
        <f t="shared" si="1"/>
        <v>1.8361995648103511</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4.5830044715757472</v>
      </c>
      <c r="E20" s="29">
        <f t="shared" si="2"/>
        <v>38.685540829116889</v>
      </c>
      <c r="F20" s="51" t="str">
        <f t="shared" si="2"/>
        <v>-</v>
      </c>
      <c r="G20" s="305" t="s">
        <v>253</v>
      </c>
      <c r="H20" s="300"/>
      <c r="J20" s="24" t="s">
        <v>9</v>
      </c>
      <c r="K20" s="28">
        <f t="shared" ref="K20:M23" si="3">IF(K27=0,"-",$D$34/K27)</f>
        <v>5.3264109694422475</v>
      </c>
      <c r="L20" s="29">
        <f t="shared" si="3"/>
        <v>38.830734162991561</v>
      </c>
      <c r="M20" s="51" t="str">
        <f t="shared" si="3"/>
        <v>-</v>
      </c>
      <c r="N20" s="305" t="s">
        <v>132</v>
      </c>
      <c r="O20" s="300"/>
    </row>
    <row r="21" spans="1:16">
      <c r="C21" s="24" t="s">
        <v>7</v>
      </c>
      <c r="D21" s="31">
        <f t="shared" si="2"/>
        <v>9.3209257553054456</v>
      </c>
      <c r="E21" s="32">
        <f t="shared" si="2"/>
        <v>80.675995022639626</v>
      </c>
      <c r="F21" s="52" t="str">
        <f t="shared" si="2"/>
        <v>-</v>
      </c>
      <c r="G21" s="301"/>
      <c r="H21" s="300"/>
      <c r="J21" s="24" t="s">
        <v>7</v>
      </c>
      <c r="K21" s="31">
        <f t="shared" si="3"/>
        <v>10.162421095820152</v>
      </c>
      <c r="L21" s="32">
        <f t="shared" si="3"/>
        <v>83.893878025118838</v>
      </c>
      <c r="M21" s="52" t="str">
        <f t="shared" si="3"/>
        <v>-</v>
      </c>
      <c r="N21" s="301"/>
      <c r="O21" s="300"/>
    </row>
    <row r="22" spans="1:16">
      <c r="C22" s="24" t="s">
        <v>8</v>
      </c>
      <c r="D22" s="31">
        <f t="shared" si="2"/>
        <v>9.2926563138162397</v>
      </c>
      <c r="E22" s="32">
        <f t="shared" si="2"/>
        <v>95.851584614533024</v>
      </c>
      <c r="F22" s="52" t="str">
        <f t="shared" si="2"/>
        <v>-</v>
      </c>
      <c r="G22" s="301"/>
      <c r="H22" s="300"/>
      <c r="J22" s="24" t="s">
        <v>8</v>
      </c>
      <c r="K22" s="31">
        <f t="shared" si="3"/>
        <v>9.7546206243099878</v>
      </c>
      <c r="L22" s="32">
        <f t="shared" si="3"/>
        <v>98.758387189865317</v>
      </c>
      <c r="M22" s="52" t="str">
        <f t="shared" si="3"/>
        <v>-</v>
      </c>
      <c r="N22" s="301"/>
      <c r="O22" s="300"/>
    </row>
    <row r="23" spans="1:16" ht="13.5" thickBot="1">
      <c r="C23" s="24" t="s">
        <v>6</v>
      </c>
      <c r="D23" s="34">
        <f t="shared" si="2"/>
        <v>38.547450303599049</v>
      </c>
      <c r="E23" s="35">
        <f t="shared" si="2"/>
        <v>476.46301477219617</v>
      </c>
      <c r="F23" s="53" t="str">
        <f t="shared" si="2"/>
        <v>-</v>
      </c>
      <c r="G23" s="301"/>
      <c r="H23" s="300"/>
      <c r="J23" s="24" t="s">
        <v>6</v>
      </c>
      <c r="K23" s="34">
        <f t="shared" si="3"/>
        <v>40.466935828787591</v>
      </c>
      <c r="L23" s="35">
        <f t="shared" si="3"/>
        <v>544.60311349833228</v>
      </c>
      <c r="M23" s="53" t="str">
        <f t="shared" si="3"/>
        <v>-</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4.4730482213454197</v>
      </c>
      <c r="E27" s="209">
        <v>0.52991374970181526</v>
      </c>
      <c r="F27" s="210">
        <v>0</v>
      </c>
      <c r="G27" s="305" t="str">
        <f>"EOS pounds removed per '"&amp;E3&amp;"' of practice per year"</f>
        <v>EOS pounds removed per 'ton' of practice per year</v>
      </c>
      <c r="H27" s="300"/>
      <c r="J27" s="24" t="s">
        <v>9</v>
      </c>
      <c r="K27" s="56">
        <v>3.8487454531032266</v>
      </c>
      <c r="L27" s="209">
        <v>0.52793233097142811</v>
      </c>
      <c r="M27" s="210">
        <v>0</v>
      </c>
      <c r="N27" s="299" t="str">
        <f>"delivered pounds removed per '"&amp;E3&amp;"' of practice per year"</f>
        <v>delivered pounds removed per 'ton' of practice per year</v>
      </c>
      <c r="O27" s="300"/>
      <c r="P27" s="204"/>
    </row>
    <row r="28" spans="1:16">
      <c r="C28" s="24" t="s">
        <v>7</v>
      </c>
      <c r="D28" s="211">
        <v>2.1993523538508453</v>
      </c>
      <c r="E28" s="212">
        <v>0.25410284675444295</v>
      </c>
      <c r="F28" s="213">
        <v>0</v>
      </c>
      <c r="G28" s="301"/>
      <c r="H28" s="300"/>
      <c r="J28" s="24" t="s">
        <v>7</v>
      </c>
      <c r="K28" s="57">
        <v>2.0172358345229111</v>
      </c>
      <c r="L28" s="212">
        <v>0.24435632828729234</v>
      </c>
      <c r="M28" s="213">
        <v>0</v>
      </c>
      <c r="N28" s="301"/>
      <c r="O28" s="300"/>
      <c r="P28" s="204"/>
    </row>
    <row r="29" spans="1:16">
      <c r="C29" s="24" t="s">
        <v>8</v>
      </c>
      <c r="D29" s="211">
        <v>2.2060430632219532</v>
      </c>
      <c r="E29" s="212">
        <v>0.21387231189177219</v>
      </c>
      <c r="F29" s="213">
        <v>0</v>
      </c>
      <c r="G29" s="301"/>
      <c r="H29" s="300"/>
      <c r="J29" s="24" t="s">
        <v>8</v>
      </c>
      <c r="K29" s="57">
        <v>2.1015681480129431</v>
      </c>
      <c r="L29" s="212">
        <v>0.20757730642753683</v>
      </c>
      <c r="M29" s="213">
        <v>0</v>
      </c>
      <c r="N29" s="301"/>
      <c r="O29" s="300"/>
      <c r="P29" s="204"/>
    </row>
    <row r="30" spans="1:16" ht="13.5" thickBot="1">
      <c r="C30" s="24" t="s">
        <v>6</v>
      </c>
      <c r="D30" s="214">
        <v>0.53181208714304984</v>
      </c>
      <c r="E30" s="215">
        <v>4.3025375243031919E-2</v>
      </c>
      <c r="F30" s="216">
        <v>0</v>
      </c>
      <c r="G30" s="301"/>
      <c r="H30" s="300"/>
      <c r="J30" s="24" t="s">
        <v>6</v>
      </c>
      <c r="K30" s="58">
        <v>0.50658641629635315</v>
      </c>
      <c r="L30" s="215">
        <v>3.7642091078612196E-2</v>
      </c>
      <c r="M30" s="216">
        <v>0</v>
      </c>
      <c r="N30" s="301"/>
      <c r="O30" s="300"/>
      <c r="P30" s="204"/>
    </row>
    <row r="31" spans="1:16" ht="13.5" thickBot="1"/>
    <row r="32" spans="1:16" s="42" customFormat="1">
      <c r="A32" s="86" t="s">
        <v>1</v>
      </c>
    </row>
    <row r="33" spans="1:12" ht="5.25" customHeight="1" thickBot="1"/>
    <row r="34" spans="1:12" ht="13.5" thickBot="1">
      <c r="C34" s="24" t="s">
        <v>11</v>
      </c>
      <c r="D34" s="46">
        <f>-PMT(D39,D38,D36)+D37</f>
        <v>20.5</v>
      </c>
      <c r="E34" s="18" t="str">
        <f>"$ per '"&amp;E3&amp;"' of practice per year"</f>
        <v>$ per 'ton' of practice per year</v>
      </c>
      <c r="I34" s="82" t="s">
        <v>169</v>
      </c>
      <c r="J34" s="217" t="s">
        <v>160</v>
      </c>
      <c r="K34" s="217" t="s">
        <v>164</v>
      </c>
      <c r="L34" s="219" t="s">
        <v>165</v>
      </c>
    </row>
    <row r="35" spans="1:12" ht="5.25" customHeight="1" thickBot="1">
      <c r="C35" s="24"/>
      <c r="D35" s="47"/>
      <c r="E35" s="18"/>
      <c r="I35" s="78"/>
      <c r="J35" s="220"/>
      <c r="K35" s="220"/>
      <c r="L35" s="221"/>
    </row>
    <row r="36" spans="1:12">
      <c r="C36" s="24" t="s">
        <v>10</v>
      </c>
      <c r="D36" s="38">
        <f>L36</f>
        <v>0</v>
      </c>
      <c r="E36" s="18" t="str">
        <f>"$ per '"&amp;E3&amp;"' of practice"</f>
        <v>$ per 'ton' of practice</v>
      </c>
      <c r="I36" s="78" t="s">
        <v>162</v>
      </c>
      <c r="J36" s="236">
        <v>0</v>
      </c>
      <c r="K36" s="236">
        <v>0</v>
      </c>
      <c r="L36" s="241">
        <f>AVERAGE(J36:K36)</f>
        <v>0</v>
      </c>
    </row>
    <row r="37" spans="1:12">
      <c r="C37" s="24" t="s">
        <v>12</v>
      </c>
      <c r="D37" s="39">
        <f>L37</f>
        <v>20.5</v>
      </c>
      <c r="E37" s="18" t="str">
        <f>"$ per '"&amp;E3&amp;"' of practice per year"</f>
        <v>$ per 'ton' of practice per year</v>
      </c>
      <c r="I37" s="78" t="s">
        <v>161</v>
      </c>
      <c r="J37" s="236">
        <v>23</v>
      </c>
      <c r="K37" s="236">
        <v>18</v>
      </c>
      <c r="L37" s="241">
        <f>AVERAGE(J37:K37)</f>
        <v>20.5</v>
      </c>
    </row>
    <row r="38" spans="1:12">
      <c r="C38" s="24" t="s">
        <v>13</v>
      </c>
      <c r="D38" s="40">
        <f>L38</f>
        <v>1</v>
      </c>
      <c r="E38" s="18" t="s">
        <v>15</v>
      </c>
      <c r="I38" s="78" t="s">
        <v>163</v>
      </c>
      <c r="J38" s="245">
        <v>1</v>
      </c>
      <c r="K38" s="245">
        <v>1</v>
      </c>
      <c r="L38" s="247">
        <v>1</v>
      </c>
    </row>
    <row r="39" spans="1:12" ht="13.5" thickBot="1">
      <c r="C39" s="24" t="s">
        <v>14</v>
      </c>
      <c r="D39" s="41">
        <f>Summary!C35</f>
        <v>0</v>
      </c>
      <c r="E39" s="18" t="s">
        <v>16</v>
      </c>
      <c r="I39" s="80" t="s">
        <v>166</v>
      </c>
      <c r="J39" s="239">
        <f>J37</f>
        <v>23</v>
      </c>
      <c r="K39" s="239">
        <f>K37</f>
        <v>18</v>
      </c>
      <c r="L39" s="238">
        <f>L37</f>
        <v>20.5</v>
      </c>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43.xml><?xml version="1.0" encoding="utf-8"?>
<worksheet xmlns="http://schemas.openxmlformats.org/spreadsheetml/2006/main" xmlns:r="http://schemas.openxmlformats.org/officeDocument/2006/relationships">
  <sheetPr codeName="Sheet24"/>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Forest Harvesting Practices</v>
      </c>
      <c r="I1" s="22"/>
      <c r="J1" s="37" t="s">
        <v>135</v>
      </c>
      <c r="K1" s="50">
        <v>34</v>
      </c>
      <c r="L1" s="22"/>
      <c r="M1" s="22"/>
      <c r="N1" s="22"/>
      <c r="O1" s="22"/>
      <c r="P1" s="22"/>
      <c r="Q1" s="22"/>
      <c r="R1" s="22"/>
    </row>
    <row r="2" spans="1:19" s="20" customFormat="1" ht="12.75" customHeight="1">
      <c r="D2" s="48" t="s">
        <v>3</v>
      </c>
      <c r="E2" s="19" t="str">
        <f>VLOOKUP($K$1,'BMP info'!A:G,4,FALSE)</f>
        <v>ForHarvestBMP</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effectiveness</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588</v>
      </c>
      <c r="E13" s="29">
        <f t="shared" si="0"/>
        <v>17.777777777777779</v>
      </c>
      <c r="F13" s="51">
        <f t="shared" si="0"/>
        <v>18355.555555555555</v>
      </c>
      <c r="G13" s="305" t="s">
        <v>254</v>
      </c>
      <c r="H13" s="300"/>
      <c r="J13" s="24" t="s">
        <v>9</v>
      </c>
      <c r="K13" s="28">
        <f t="shared" ref="K13:M16" si="1">IF(K27*$D$34=0,"-",1000*K27/$D$34)</f>
        <v>270</v>
      </c>
      <c r="L13" s="29">
        <f t="shared" si="1"/>
        <v>8.4444444444444446</v>
      </c>
      <c r="M13" s="51">
        <f t="shared" si="1"/>
        <v>12888.888888888889</v>
      </c>
      <c r="N13" s="305" t="s">
        <v>133</v>
      </c>
      <c r="O13" s="300"/>
    </row>
    <row r="14" spans="1:19">
      <c r="C14" s="24" t="s">
        <v>7</v>
      </c>
      <c r="D14" s="31">
        <f t="shared" si="0"/>
        <v>287.55555555555554</v>
      </c>
      <c r="E14" s="32">
        <f t="shared" si="0"/>
        <v>8.8888888888888893</v>
      </c>
      <c r="F14" s="52">
        <f t="shared" si="0"/>
        <v>8511.1111111111113</v>
      </c>
      <c r="G14" s="301"/>
      <c r="H14" s="300"/>
      <c r="J14" s="24" t="s">
        <v>7</v>
      </c>
      <c r="K14" s="31">
        <f t="shared" si="1"/>
        <v>165.77777777777777</v>
      </c>
      <c r="L14" s="32">
        <f t="shared" si="1"/>
        <v>5.7777777777777777</v>
      </c>
      <c r="M14" s="52">
        <f t="shared" si="1"/>
        <v>6377.7777777777774</v>
      </c>
      <c r="N14" s="301"/>
      <c r="O14" s="300"/>
    </row>
    <row r="15" spans="1:19">
      <c r="C15" s="24" t="s">
        <v>8</v>
      </c>
      <c r="D15" s="31">
        <f t="shared" si="0"/>
        <v>184.66666666666666</v>
      </c>
      <c r="E15" s="32">
        <f t="shared" si="0"/>
        <v>6.4444444444444446</v>
      </c>
      <c r="F15" s="52">
        <f t="shared" si="0"/>
        <v>4822.2222222222226</v>
      </c>
      <c r="G15" s="301"/>
      <c r="H15" s="300"/>
      <c r="J15" s="24" t="s">
        <v>8</v>
      </c>
      <c r="K15" s="31">
        <f t="shared" si="1"/>
        <v>160.22222222222223</v>
      </c>
      <c r="L15" s="32">
        <f t="shared" si="1"/>
        <v>5.5555555555555554</v>
      </c>
      <c r="M15" s="52">
        <f t="shared" si="1"/>
        <v>4488.8888888888887</v>
      </c>
      <c r="N15" s="301"/>
      <c r="O15" s="300"/>
    </row>
    <row r="16" spans="1:19" ht="13.5" thickBot="1">
      <c r="C16" s="24" t="s">
        <v>6</v>
      </c>
      <c r="D16" s="34">
        <f t="shared" si="0"/>
        <v>154.88888888888889</v>
      </c>
      <c r="E16" s="35">
        <f t="shared" si="0"/>
        <v>4.666666666666667</v>
      </c>
      <c r="F16" s="53">
        <f t="shared" si="0"/>
        <v>2666.6666666666665</v>
      </c>
      <c r="G16" s="301"/>
      <c r="H16" s="300"/>
      <c r="J16" s="24" t="s">
        <v>6</v>
      </c>
      <c r="K16" s="34">
        <f t="shared" si="1"/>
        <v>65.777777777777771</v>
      </c>
      <c r="L16" s="35">
        <f t="shared" si="1"/>
        <v>3.1111111111111112</v>
      </c>
      <c r="M16" s="53">
        <f t="shared" si="1"/>
        <v>2022.2222222222222</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1.7006802721088434</v>
      </c>
      <c r="E20" s="29">
        <f t="shared" si="2"/>
        <v>56.25</v>
      </c>
      <c r="F20" s="51">
        <f t="shared" si="2"/>
        <v>5.4479418886198547E-2</v>
      </c>
      <c r="G20" s="305" t="s">
        <v>253</v>
      </c>
      <c r="H20" s="300"/>
      <c r="J20" s="24" t="s">
        <v>9</v>
      </c>
      <c r="K20" s="28">
        <f t="shared" ref="K20:M23" si="3">IF(K27=0,"-",$D$34/K27)</f>
        <v>3.7037037037037037</v>
      </c>
      <c r="L20" s="29">
        <f t="shared" si="3"/>
        <v>118.42105263157895</v>
      </c>
      <c r="M20" s="51">
        <f t="shared" si="3"/>
        <v>7.7586206896551727E-2</v>
      </c>
      <c r="N20" s="305" t="s">
        <v>132</v>
      </c>
      <c r="O20" s="300"/>
    </row>
    <row r="21" spans="1:16">
      <c r="C21" s="24" t="s">
        <v>7</v>
      </c>
      <c r="D21" s="31">
        <f t="shared" si="2"/>
        <v>3.4775888717156107</v>
      </c>
      <c r="E21" s="32">
        <f t="shared" si="2"/>
        <v>112.5</v>
      </c>
      <c r="F21" s="52">
        <f t="shared" si="2"/>
        <v>0.1174934725848564</v>
      </c>
      <c r="G21" s="301"/>
      <c r="H21" s="300"/>
      <c r="J21" s="24" t="s">
        <v>7</v>
      </c>
      <c r="K21" s="31">
        <f t="shared" si="3"/>
        <v>6.032171581769437</v>
      </c>
      <c r="L21" s="32">
        <f t="shared" si="3"/>
        <v>173.07692307692307</v>
      </c>
      <c r="M21" s="52">
        <f t="shared" si="3"/>
        <v>0.156794425087108</v>
      </c>
      <c r="N21" s="301"/>
      <c r="O21" s="300"/>
    </row>
    <row r="22" spans="1:16">
      <c r="C22" s="24" t="s">
        <v>8</v>
      </c>
      <c r="D22" s="31">
        <f t="shared" si="2"/>
        <v>5.4151624548736459</v>
      </c>
      <c r="E22" s="32">
        <f t="shared" si="2"/>
        <v>155.17241379310346</v>
      </c>
      <c r="F22" s="52">
        <f t="shared" si="2"/>
        <v>0.20737327188940091</v>
      </c>
      <c r="G22" s="301"/>
      <c r="H22" s="300"/>
      <c r="J22" s="24" t="s">
        <v>8</v>
      </c>
      <c r="K22" s="31">
        <f t="shared" si="3"/>
        <v>6.2413314840499305</v>
      </c>
      <c r="L22" s="32">
        <f t="shared" si="3"/>
        <v>180</v>
      </c>
      <c r="M22" s="52">
        <f t="shared" si="3"/>
        <v>0.22277227722772278</v>
      </c>
      <c r="N22" s="301"/>
      <c r="O22" s="300"/>
    </row>
    <row r="23" spans="1:16" ht="13.5" thickBot="1">
      <c r="C23" s="24" t="s">
        <v>6</v>
      </c>
      <c r="D23" s="34">
        <f t="shared" si="2"/>
        <v>6.4562410329985651</v>
      </c>
      <c r="E23" s="35">
        <f t="shared" si="2"/>
        <v>214.28571428571431</v>
      </c>
      <c r="F23" s="53">
        <f t="shared" si="2"/>
        <v>0.375</v>
      </c>
      <c r="G23" s="301"/>
      <c r="H23" s="300"/>
      <c r="J23" s="24" t="s">
        <v>6</v>
      </c>
      <c r="K23" s="34">
        <f t="shared" si="3"/>
        <v>15.202702702702704</v>
      </c>
      <c r="L23" s="35">
        <f t="shared" si="3"/>
        <v>321.42857142857139</v>
      </c>
      <c r="M23" s="53">
        <f t="shared" si="3"/>
        <v>0.49450549450549453</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26.46</v>
      </c>
      <c r="E27" s="209">
        <v>0.8</v>
      </c>
      <c r="F27" s="210">
        <v>826</v>
      </c>
      <c r="G27" s="305" t="str">
        <f>"EOS pounds removed per '"&amp;E3&amp;"' of practice per year"</f>
        <v>EOS pounds removed per 'acre' of practice per year</v>
      </c>
      <c r="H27" s="300"/>
      <c r="J27" s="24" t="s">
        <v>9</v>
      </c>
      <c r="K27" s="56">
        <v>12.15</v>
      </c>
      <c r="L27" s="209">
        <v>0.38</v>
      </c>
      <c r="M27" s="210">
        <v>580</v>
      </c>
      <c r="N27" s="299" t="str">
        <f>"delivered pounds removed per '"&amp;E3&amp;"' of practice per year"</f>
        <v>delivered pounds removed per 'acre' of practice per year</v>
      </c>
      <c r="O27" s="300"/>
      <c r="P27" s="204"/>
    </row>
    <row r="28" spans="1:16">
      <c r="C28" s="24" t="s">
        <v>7</v>
      </c>
      <c r="D28" s="211">
        <v>12.94</v>
      </c>
      <c r="E28" s="212">
        <v>0.4</v>
      </c>
      <c r="F28" s="213">
        <v>383</v>
      </c>
      <c r="G28" s="301"/>
      <c r="H28" s="300"/>
      <c r="J28" s="24" t="s">
        <v>7</v>
      </c>
      <c r="K28" s="57">
        <v>7.46</v>
      </c>
      <c r="L28" s="212">
        <v>0.26</v>
      </c>
      <c r="M28" s="213">
        <v>287</v>
      </c>
      <c r="N28" s="301"/>
      <c r="O28" s="300"/>
      <c r="P28" s="204"/>
    </row>
    <row r="29" spans="1:16">
      <c r="C29" s="24" t="s">
        <v>8</v>
      </c>
      <c r="D29" s="211">
        <v>8.31</v>
      </c>
      <c r="E29" s="212">
        <v>0.28999999999999998</v>
      </c>
      <c r="F29" s="213">
        <v>217</v>
      </c>
      <c r="G29" s="301"/>
      <c r="H29" s="300"/>
      <c r="J29" s="24" t="s">
        <v>8</v>
      </c>
      <c r="K29" s="57">
        <v>7.21</v>
      </c>
      <c r="L29" s="212">
        <v>0.25</v>
      </c>
      <c r="M29" s="213">
        <v>202</v>
      </c>
      <c r="N29" s="301"/>
      <c r="O29" s="300"/>
      <c r="P29" s="204"/>
    </row>
    <row r="30" spans="1:16" ht="13.5" thickBot="1">
      <c r="C30" s="24" t="s">
        <v>6</v>
      </c>
      <c r="D30" s="214">
        <v>6.97</v>
      </c>
      <c r="E30" s="215">
        <v>0.21</v>
      </c>
      <c r="F30" s="216">
        <v>120</v>
      </c>
      <c r="G30" s="301"/>
      <c r="H30" s="300"/>
      <c r="J30" s="24" t="s">
        <v>6</v>
      </c>
      <c r="K30" s="58">
        <v>2.96</v>
      </c>
      <c r="L30" s="215">
        <v>0.14000000000000001</v>
      </c>
      <c r="M30" s="216">
        <v>91</v>
      </c>
      <c r="N30" s="301"/>
      <c r="O30" s="300"/>
      <c r="P30" s="204"/>
    </row>
    <row r="31" spans="1:16" ht="13.5" thickBot="1"/>
    <row r="32" spans="1:16" s="42" customFormat="1">
      <c r="A32" s="86" t="s">
        <v>1</v>
      </c>
    </row>
    <row r="33" spans="1:13" ht="5.25" customHeight="1" thickBot="1"/>
    <row r="34" spans="1:13" ht="13.5" thickBot="1">
      <c r="C34" s="24" t="s">
        <v>11</v>
      </c>
      <c r="D34" s="46">
        <f>-PMT(D39,D38,D36)+D37</f>
        <v>45</v>
      </c>
      <c r="E34" s="18" t="str">
        <f>"$ per '"&amp;E3&amp;"' of practice per year"</f>
        <v>$ per 'acre' of practice per year</v>
      </c>
      <c r="I34" s="82"/>
      <c r="J34" s="217" t="s">
        <v>160</v>
      </c>
      <c r="K34" s="217" t="s">
        <v>167</v>
      </c>
      <c r="L34" s="217" t="s">
        <v>266</v>
      </c>
      <c r="M34" s="219" t="s">
        <v>165</v>
      </c>
    </row>
    <row r="35" spans="1:13" ht="5.25" customHeight="1" thickBot="1">
      <c r="C35" s="24"/>
      <c r="D35" s="47"/>
      <c r="E35" s="18"/>
      <c r="I35" s="78"/>
      <c r="J35" s="220"/>
      <c r="K35" s="220"/>
      <c r="L35" s="220"/>
      <c r="M35" s="221"/>
    </row>
    <row r="36" spans="1:13">
      <c r="C36" s="24" t="s">
        <v>10</v>
      </c>
      <c r="D36" s="38">
        <f>L36</f>
        <v>0</v>
      </c>
      <c r="E36" s="18" t="str">
        <f>"$ per '"&amp;E3&amp;"' of practice"</f>
        <v>$ per 'acre' of practice</v>
      </c>
      <c r="I36" s="78" t="s">
        <v>162</v>
      </c>
      <c r="J36" s="236">
        <v>0</v>
      </c>
      <c r="K36" s="236">
        <v>0</v>
      </c>
      <c r="L36" s="235">
        <v>0</v>
      </c>
      <c r="M36" s="237">
        <f>(J36/J38+K36/K38)/2</f>
        <v>0</v>
      </c>
    </row>
    <row r="37" spans="1:13">
      <c r="C37" s="24" t="s">
        <v>12</v>
      </c>
      <c r="D37" s="39">
        <f>L37</f>
        <v>45</v>
      </c>
      <c r="E37" s="18" t="str">
        <f>"$ per '"&amp;E3&amp;"' of practice per year"</f>
        <v>$ per 'acre' of practice per year</v>
      </c>
      <c r="I37" s="78" t="s">
        <v>161</v>
      </c>
      <c r="J37" s="236">
        <v>0</v>
      </c>
      <c r="K37" s="236">
        <v>29</v>
      </c>
      <c r="L37" s="235">
        <v>45</v>
      </c>
      <c r="M37" s="237">
        <f>AVERAGE(J37:K37)</f>
        <v>14.5</v>
      </c>
    </row>
    <row r="38" spans="1:13">
      <c r="C38" s="24" t="s">
        <v>13</v>
      </c>
      <c r="D38" s="40">
        <f>K38</f>
        <v>1</v>
      </c>
      <c r="E38" s="18" t="s">
        <v>15</v>
      </c>
      <c r="I38" s="78" t="s">
        <v>163</v>
      </c>
      <c r="J38" s="245">
        <v>1</v>
      </c>
      <c r="K38" s="245">
        <v>1</v>
      </c>
      <c r="L38" s="244">
        <v>1</v>
      </c>
      <c r="M38" s="246"/>
    </row>
    <row r="39" spans="1:13" ht="13.5" thickBot="1">
      <c r="C39" s="24" t="s">
        <v>14</v>
      </c>
      <c r="D39" s="41">
        <f>Summary!C35</f>
        <v>0</v>
      </c>
      <c r="E39" s="18" t="s">
        <v>16</v>
      </c>
      <c r="I39" s="80" t="s">
        <v>166</v>
      </c>
      <c r="J39" s="239">
        <f>J37+(J36/J38)</f>
        <v>0</v>
      </c>
      <c r="K39" s="239">
        <f>K37+(K36/K38)</f>
        <v>29</v>
      </c>
      <c r="L39" s="238">
        <f>L37+(L36/L38)</f>
        <v>45</v>
      </c>
      <c r="M39" s="240">
        <f>AVERAGE(J39:K39)</f>
        <v>14.5</v>
      </c>
    </row>
    <row r="40" spans="1:13">
      <c r="F40" s="234"/>
    </row>
    <row r="41" spans="1:13">
      <c r="I41" s="304" t="s">
        <v>267</v>
      </c>
      <c r="J41" s="304"/>
      <c r="K41" s="304"/>
      <c r="L41" s="304"/>
    </row>
    <row r="42" spans="1:13">
      <c r="I42" s="304"/>
      <c r="J42" s="304"/>
      <c r="K42" s="304"/>
      <c r="L42" s="304"/>
    </row>
    <row r="43" spans="1:13">
      <c r="I43" s="304"/>
      <c r="J43" s="304"/>
      <c r="K43" s="304"/>
      <c r="L43" s="304"/>
    </row>
    <row r="44" spans="1:13">
      <c r="I44" s="304"/>
      <c r="J44" s="304"/>
      <c r="K44" s="304"/>
      <c r="L44" s="304"/>
    </row>
    <row r="45" spans="1:13">
      <c r="I45" s="304"/>
      <c r="J45" s="304"/>
      <c r="K45" s="304"/>
      <c r="L45" s="304"/>
    </row>
    <row r="48" spans="1:13">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44.xml><?xml version="1.0" encoding="utf-8"?>
<worksheet xmlns="http://schemas.openxmlformats.org/spreadsheetml/2006/main" xmlns:r="http://schemas.openxmlformats.org/officeDocument/2006/relationships">
  <sheetPr codeName="Sheet26"/>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3.5703125" style="17" bestFit="1" customWidth="1"/>
    <col min="11" max="16384" width="9.140625" style="17"/>
  </cols>
  <sheetData>
    <row r="1" spans="1:19" s="20" customFormat="1" ht="21" customHeight="1">
      <c r="A1" s="302" t="s">
        <v>136</v>
      </c>
      <c r="B1" s="303"/>
      <c r="D1" s="25" t="s">
        <v>134</v>
      </c>
      <c r="E1" s="89" t="str">
        <f>VLOOKUP($K$1,'BMP info'!A:G,3,FALSE)</f>
        <v>Set Permitted Load</v>
      </c>
      <c r="I1" s="22"/>
      <c r="J1" s="37" t="s">
        <v>135</v>
      </c>
      <c r="K1" s="50">
        <v>35</v>
      </c>
      <c r="L1" s="22"/>
      <c r="M1" s="22"/>
      <c r="N1" s="22"/>
      <c r="O1" s="22"/>
      <c r="P1" s="22"/>
      <c r="Q1" s="22"/>
      <c r="R1" s="22"/>
    </row>
    <row r="2" spans="1:19" s="20" customFormat="1" ht="12.75" customHeight="1">
      <c r="D2" s="48" t="s">
        <v>3</v>
      </c>
      <c r="E2" s="19" t="str">
        <f>VLOOKUP($K$1,'BMP info'!A:G,4,FALSE)</f>
        <v>WWLoadReduction</v>
      </c>
      <c r="I2" s="23"/>
      <c r="L2" s="23"/>
      <c r="M2" s="23"/>
      <c r="N2" s="23"/>
      <c r="O2" s="23"/>
      <c r="P2" s="23"/>
      <c r="Q2" s="23"/>
      <c r="R2" s="23"/>
      <c r="S2" s="23"/>
    </row>
    <row r="3" spans="1:19" s="20" customFormat="1" ht="12.75" customHeight="1">
      <c r="D3" s="48" t="s">
        <v>79</v>
      </c>
      <c r="E3" s="19" t="str">
        <f>VLOOKUP($K$1,'BMP info'!A:G,5,FALSE)</f>
        <v>MGD</v>
      </c>
      <c r="I3" s="23"/>
      <c r="K3" s="49"/>
      <c r="L3" s="23"/>
      <c r="M3" s="23"/>
      <c r="N3" s="23"/>
      <c r="O3" s="23"/>
      <c r="P3" s="23"/>
      <c r="Q3" s="23"/>
      <c r="R3" s="23"/>
      <c r="S3" s="23"/>
    </row>
    <row r="4" spans="1:19" s="20" customFormat="1" ht="12.75" customHeight="1">
      <c r="D4" s="48" t="s">
        <v>170</v>
      </c>
      <c r="E4" s="19" t="str">
        <f>VLOOKUP($K$1,'BMP info'!A:G,6,FALSE)</f>
        <v>direct reduction</v>
      </c>
      <c r="I4" s="23"/>
      <c r="K4" s="49"/>
      <c r="L4" s="23"/>
      <c r="M4" s="23"/>
      <c r="N4" s="23"/>
      <c r="O4" s="23"/>
      <c r="P4" s="23"/>
      <c r="Q4" s="23"/>
      <c r="R4" s="23"/>
      <c r="S4" s="23"/>
    </row>
    <row r="5" spans="1:19" s="20" customFormat="1">
      <c r="D5" s="48" t="s">
        <v>4</v>
      </c>
      <c r="E5" s="19" t="str">
        <f>VLOOKUP($K$1,'BMP info'!A:G,7,FALSE)</f>
        <v>spread-
sheet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112.97570850202429</v>
      </c>
      <c r="E13" s="29">
        <f t="shared" si="0"/>
        <v>7.7074898785425106</v>
      </c>
      <c r="F13" s="51" t="str">
        <f t="shared" si="0"/>
        <v>-</v>
      </c>
      <c r="G13" s="305" t="s">
        <v>254</v>
      </c>
      <c r="H13" s="300"/>
      <c r="J13" s="24" t="s">
        <v>9</v>
      </c>
      <c r="K13" s="28">
        <f t="shared" ref="K13:M16" si="1">IF(K27*$D$34=0,"-",1000*K27/$D$34)</f>
        <v>112.97570850202429</v>
      </c>
      <c r="L13" s="29">
        <f t="shared" si="1"/>
        <v>4.0865384615384617</v>
      </c>
      <c r="M13" s="51" t="str">
        <f t="shared" si="1"/>
        <v>-</v>
      </c>
      <c r="N13" s="305" t="s">
        <v>133</v>
      </c>
      <c r="O13" s="300"/>
    </row>
    <row r="14" spans="1:19">
      <c r="C14" s="24" t="s">
        <v>7</v>
      </c>
      <c r="D14" s="31">
        <f t="shared" si="0"/>
        <v>35.086032388663966</v>
      </c>
      <c r="E14" s="32">
        <f t="shared" si="0"/>
        <v>3.9296558704453441</v>
      </c>
      <c r="F14" s="52" t="str">
        <f t="shared" si="0"/>
        <v>-</v>
      </c>
      <c r="G14" s="301"/>
      <c r="H14" s="300"/>
      <c r="J14" s="24" t="s">
        <v>7</v>
      </c>
      <c r="K14" s="31">
        <f t="shared" si="1"/>
        <v>33.297064777327932</v>
      </c>
      <c r="L14" s="32">
        <f t="shared" si="1"/>
        <v>3.4109311740890687</v>
      </c>
      <c r="M14" s="52" t="str">
        <f t="shared" si="1"/>
        <v>-</v>
      </c>
      <c r="N14" s="301"/>
      <c r="O14" s="300"/>
    </row>
    <row r="15" spans="1:19">
      <c r="C15" s="24" t="s">
        <v>8</v>
      </c>
      <c r="D15" s="31">
        <f t="shared" si="0"/>
        <v>23.274291497975707</v>
      </c>
      <c r="E15" s="32">
        <f t="shared" si="0"/>
        <v>3.9296558704453441</v>
      </c>
      <c r="F15" s="52" t="str">
        <f t="shared" si="0"/>
        <v>-</v>
      </c>
      <c r="G15" s="301"/>
      <c r="H15" s="300"/>
      <c r="J15" s="24" t="s">
        <v>8</v>
      </c>
      <c r="K15" s="31">
        <f t="shared" si="1"/>
        <v>23.274291497975707</v>
      </c>
      <c r="L15" s="32">
        <f t="shared" si="1"/>
        <v>3.2363360323886639</v>
      </c>
      <c r="M15" s="52" t="str">
        <f t="shared" si="1"/>
        <v>-</v>
      </c>
      <c r="N15" s="301"/>
      <c r="O15" s="300"/>
    </row>
    <row r="16" spans="1:19" ht="13.5" thickBot="1">
      <c r="C16" s="24" t="s">
        <v>6</v>
      </c>
      <c r="D16" s="34">
        <f t="shared" si="0"/>
        <v>4.9316801619433202</v>
      </c>
      <c r="E16" s="35">
        <f t="shared" si="0"/>
        <v>0.77176113360323884</v>
      </c>
      <c r="F16" s="53" t="str">
        <f t="shared" si="0"/>
        <v>-</v>
      </c>
      <c r="G16" s="301"/>
      <c r="H16" s="300"/>
      <c r="J16" s="24" t="s">
        <v>6</v>
      </c>
      <c r="K16" s="34">
        <f t="shared" si="1"/>
        <v>1.8496963562753037</v>
      </c>
      <c r="L16" s="35">
        <f t="shared" si="1"/>
        <v>0.68572874493927127</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8.8514603117720831</v>
      </c>
      <c r="E20" s="29">
        <f t="shared" si="2"/>
        <v>129.74392646093236</v>
      </c>
      <c r="F20" s="51" t="str">
        <f t="shared" si="2"/>
        <v>-</v>
      </c>
      <c r="G20" s="305" t="s">
        <v>253</v>
      </c>
      <c r="H20" s="300"/>
      <c r="J20" s="24" t="s">
        <v>9</v>
      </c>
      <c r="K20" s="28">
        <f t="shared" ref="K20:M23" si="3">IF(K27=0,"-",$D$34/K27)</f>
        <v>8.8514603117720831</v>
      </c>
      <c r="L20" s="29">
        <f t="shared" si="3"/>
        <v>244.70588235294119</v>
      </c>
      <c r="M20" s="51" t="str">
        <f t="shared" si="3"/>
        <v>-</v>
      </c>
      <c r="N20" s="305" t="s">
        <v>132</v>
      </c>
      <c r="O20" s="300"/>
    </row>
    <row r="21" spans="1:16">
      <c r="C21" s="24" t="s">
        <v>7</v>
      </c>
      <c r="D21" s="31">
        <f t="shared" si="2"/>
        <v>28.501370258185489</v>
      </c>
      <c r="E21" s="32">
        <f t="shared" si="2"/>
        <v>254.47520927237605</v>
      </c>
      <c r="F21" s="52" t="str">
        <f t="shared" si="2"/>
        <v>-</v>
      </c>
      <c r="G21" s="301"/>
      <c r="H21" s="300"/>
      <c r="J21" s="24" t="s">
        <v>7</v>
      </c>
      <c r="K21" s="31">
        <f t="shared" si="3"/>
        <v>30.032677255110571</v>
      </c>
      <c r="L21" s="32">
        <f t="shared" si="3"/>
        <v>293.17507418397628</v>
      </c>
      <c r="M21" s="52" t="str">
        <f t="shared" si="3"/>
        <v>-</v>
      </c>
      <c r="N21" s="301"/>
      <c r="O21" s="300"/>
    </row>
    <row r="22" spans="1:16">
      <c r="C22" s="24" t="s">
        <v>8</v>
      </c>
      <c r="D22" s="31">
        <f t="shared" si="2"/>
        <v>42.965862143944335</v>
      </c>
      <c r="E22" s="32">
        <f t="shared" si="2"/>
        <v>254.47520927237605</v>
      </c>
      <c r="F22" s="52" t="str">
        <f t="shared" si="2"/>
        <v>-</v>
      </c>
      <c r="G22" s="301"/>
      <c r="H22" s="300"/>
      <c r="J22" s="24" t="s">
        <v>8</v>
      </c>
      <c r="K22" s="31">
        <f t="shared" si="3"/>
        <v>42.965862143944335</v>
      </c>
      <c r="L22" s="32">
        <f t="shared" si="3"/>
        <v>308.99139953088348</v>
      </c>
      <c r="M22" s="52" t="str">
        <f t="shared" si="3"/>
        <v>-</v>
      </c>
      <c r="N22" s="301"/>
      <c r="O22" s="300"/>
    </row>
    <row r="23" spans="1:16" ht="13.5" thickBot="1">
      <c r="C23" s="24" t="s">
        <v>6</v>
      </c>
      <c r="D23" s="34">
        <f t="shared" si="2"/>
        <v>202.77065161621346</v>
      </c>
      <c r="E23" s="35">
        <f t="shared" si="2"/>
        <v>1295.7377049180327</v>
      </c>
      <c r="F23" s="53" t="str">
        <f t="shared" si="2"/>
        <v>-</v>
      </c>
      <c r="G23" s="301"/>
      <c r="H23" s="300"/>
      <c r="J23" s="24" t="s">
        <v>6</v>
      </c>
      <c r="K23" s="34">
        <f t="shared" si="3"/>
        <v>540.62927496580028</v>
      </c>
      <c r="L23" s="35">
        <f t="shared" si="3"/>
        <v>1458.3025830258302</v>
      </c>
      <c r="M23" s="53" t="str">
        <f t="shared" si="3"/>
        <v>-</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44648</v>
      </c>
      <c r="E27" s="209">
        <v>3046</v>
      </c>
      <c r="F27" s="210">
        <v>0</v>
      </c>
      <c r="G27" s="305" t="str">
        <f>"EOS pounds removed per '"&amp;E3&amp;"' of practice per year"</f>
        <v>EOS pounds removed per 'MGD' of practice per year</v>
      </c>
      <c r="H27" s="300"/>
      <c r="J27" s="24" t="s">
        <v>9</v>
      </c>
      <c r="K27" s="56">
        <v>44648</v>
      </c>
      <c r="L27" s="209">
        <v>1615</v>
      </c>
      <c r="M27" s="210">
        <v>0</v>
      </c>
      <c r="N27" s="299" t="str">
        <f>"delivered pounds removed per '"&amp;E3&amp;"' of practice per year"</f>
        <v>delivered pounds removed per 'MGD' of practice per year</v>
      </c>
      <c r="O27" s="300"/>
      <c r="P27" s="204"/>
    </row>
    <row r="28" spans="1:16">
      <c r="C28" s="24" t="s">
        <v>7</v>
      </c>
      <c r="D28" s="211">
        <v>13866</v>
      </c>
      <c r="E28" s="212">
        <v>1553</v>
      </c>
      <c r="F28" s="213">
        <v>0</v>
      </c>
      <c r="G28" s="301"/>
      <c r="H28" s="300"/>
      <c r="J28" s="24" t="s">
        <v>7</v>
      </c>
      <c r="K28" s="57">
        <v>13159</v>
      </c>
      <c r="L28" s="212">
        <v>1348</v>
      </c>
      <c r="M28" s="213">
        <v>0</v>
      </c>
      <c r="N28" s="301"/>
      <c r="O28" s="300"/>
      <c r="P28" s="204"/>
    </row>
    <row r="29" spans="1:16">
      <c r="C29" s="24" t="s">
        <v>8</v>
      </c>
      <c r="D29" s="211">
        <v>9198</v>
      </c>
      <c r="E29" s="212">
        <v>1553</v>
      </c>
      <c r="F29" s="213">
        <v>0</v>
      </c>
      <c r="G29" s="301"/>
      <c r="H29" s="300"/>
      <c r="J29" s="24" t="s">
        <v>8</v>
      </c>
      <c r="K29" s="57">
        <v>9198</v>
      </c>
      <c r="L29" s="212">
        <v>1279</v>
      </c>
      <c r="M29" s="213">
        <v>0</v>
      </c>
      <c r="N29" s="301"/>
      <c r="O29" s="300"/>
      <c r="P29" s="204"/>
    </row>
    <row r="30" spans="1:16" ht="13.5" thickBot="1">
      <c r="C30" s="24" t="s">
        <v>6</v>
      </c>
      <c r="D30" s="214">
        <v>1949</v>
      </c>
      <c r="E30" s="215">
        <v>305</v>
      </c>
      <c r="F30" s="216">
        <v>0</v>
      </c>
      <c r="G30" s="301"/>
      <c r="H30" s="300"/>
      <c r="J30" s="24" t="s">
        <v>6</v>
      </c>
      <c r="K30" s="58">
        <v>731</v>
      </c>
      <c r="L30" s="215">
        <v>271</v>
      </c>
      <c r="M30" s="216">
        <v>0</v>
      </c>
      <c r="N30" s="301"/>
      <c r="O30" s="300"/>
      <c r="P30" s="204"/>
    </row>
    <row r="31" spans="1:16" ht="13.5" thickBot="1"/>
    <row r="32" spans="1:16" s="42" customFormat="1">
      <c r="A32" s="86" t="s">
        <v>1</v>
      </c>
    </row>
    <row r="33" spans="1:12" ht="5.25" customHeight="1" thickBot="1"/>
    <row r="34" spans="1:12" ht="13.5" thickBot="1">
      <c r="C34" s="24" t="s">
        <v>11</v>
      </c>
      <c r="D34" s="46">
        <f>-PMT(D39,D38,D36)+D37</f>
        <v>395200</v>
      </c>
      <c r="E34" s="18" t="str">
        <f>"$ per '"&amp;E3&amp;"' of practice per year"</f>
        <v>$ per 'MGD' of practice per year</v>
      </c>
      <c r="I34" s="82" t="s">
        <v>169</v>
      </c>
      <c r="J34" s="217"/>
      <c r="K34" s="217"/>
      <c r="L34" s="219" t="s">
        <v>165</v>
      </c>
    </row>
    <row r="35" spans="1:12" ht="5.25" customHeight="1" thickBot="1">
      <c r="C35" s="24"/>
      <c r="D35" s="47"/>
      <c r="E35" s="18"/>
      <c r="I35" s="78"/>
      <c r="J35" s="220"/>
      <c r="K35" s="220"/>
      <c r="L35" s="221"/>
    </row>
    <row r="36" spans="1:12">
      <c r="C36" s="24" t="s">
        <v>10</v>
      </c>
      <c r="D36" s="201">
        <f>J36</f>
        <v>6234000</v>
      </c>
      <c r="E36" s="18" t="str">
        <f>"$ per '"&amp;E3&amp;"' of practice"</f>
        <v>$ per 'MGD' of practice</v>
      </c>
      <c r="I36" s="78" t="s">
        <v>162</v>
      </c>
      <c r="J36" s="235">
        <v>6234000</v>
      </c>
      <c r="K36" s="236"/>
      <c r="L36" s="237"/>
    </row>
    <row r="37" spans="1:12">
      <c r="C37" s="24" t="s">
        <v>12</v>
      </c>
      <c r="D37" s="202">
        <f>J37</f>
        <v>83500</v>
      </c>
      <c r="E37" s="18" t="str">
        <f>"$ per '"&amp;E3&amp;"' of practice per year"</f>
        <v>$ per 'MGD' of practice per year</v>
      </c>
      <c r="I37" s="78" t="s">
        <v>161</v>
      </c>
      <c r="J37" s="235">
        <v>83500</v>
      </c>
      <c r="K37" s="236"/>
      <c r="L37" s="237"/>
    </row>
    <row r="38" spans="1:12">
      <c r="C38" s="24" t="s">
        <v>13</v>
      </c>
      <c r="D38" s="40">
        <f>J38</f>
        <v>20</v>
      </c>
      <c r="E38" s="18" t="s">
        <v>15</v>
      </c>
      <c r="I38" s="78" t="s">
        <v>163</v>
      </c>
      <c r="J38" s="244">
        <v>20</v>
      </c>
      <c r="K38" s="245"/>
      <c r="L38" s="246"/>
    </row>
    <row r="39" spans="1:12" ht="13.5" thickBot="1">
      <c r="C39" s="24" t="s">
        <v>14</v>
      </c>
      <c r="D39" s="41">
        <f>Summary!C35</f>
        <v>0</v>
      </c>
      <c r="E39" s="18" t="s">
        <v>16</v>
      </c>
      <c r="I39" s="80" t="s">
        <v>166</v>
      </c>
      <c r="J39" s="238">
        <f>J37+J36/J38</f>
        <v>395200</v>
      </c>
      <c r="K39" s="239"/>
      <c r="L39" s="240"/>
    </row>
    <row r="40" spans="1:12">
      <c r="F40" s="234"/>
    </row>
    <row r="41" spans="1:12">
      <c r="I41" s="304" t="s">
        <v>261</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6" spans="1:12">
      <c r="I46" s="306"/>
      <c r="J46" s="306"/>
      <c r="K46" s="306"/>
      <c r="L46" s="306"/>
    </row>
    <row r="47" spans="1:12">
      <c r="I47" s="306"/>
      <c r="J47" s="306"/>
      <c r="K47" s="306"/>
      <c r="L47" s="306"/>
    </row>
    <row r="48" spans="1:12">
      <c r="A48" s="17" t="s">
        <v>297</v>
      </c>
    </row>
  </sheetData>
  <mergeCells count="8">
    <mergeCell ref="N27:O30"/>
    <mergeCell ref="A1:B1"/>
    <mergeCell ref="G27:H30"/>
    <mergeCell ref="I41:L47"/>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45.xml><?xml version="1.0" encoding="utf-8"?>
<worksheet xmlns="http://schemas.openxmlformats.org/spreadsheetml/2006/main" xmlns:r="http://schemas.openxmlformats.org/officeDocument/2006/relationships">
  <sheetPr codeName="Sheet34"/>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Septic Connection ― Critical Area</v>
      </c>
      <c r="I1" s="22"/>
      <c r="J1" s="37" t="s">
        <v>135</v>
      </c>
      <c r="K1" s="50" t="s">
        <v>148</v>
      </c>
      <c r="L1" s="22"/>
      <c r="M1" s="22"/>
      <c r="N1" s="22"/>
      <c r="O1" s="22"/>
      <c r="P1" s="22"/>
      <c r="Q1" s="22"/>
      <c r="R1" s="22"/>
    </row>
    <row r="2" spans="1:19" s="20" customFormat="1" ht="12.75" customHeight="1">
      <c r="D2" s="48" t="s">
        <v>3</v>
      </c>
      <c r="E2" s="19" t="str">
        <f>VLOOKUP($K$1,'BMP info'!A:G,4,FALSE)</f>
        <v>SepticConnect</v>
      </c>
      <c r="I2" s="23"/>
      <c r="L2" s="23"/>
      <c r="M2" s="23"/>
      <c r="N2" s="23"/>
      <c r="O2" s="23"/>
      <c r="P2" s="23"/>
      <c r="Q2" s="23"/>
      <c r="R2" s="23"/>
      <c r="S2" s="23"/>
    </row>
    <row r="3" spans="1:19" s="20" customFormat="1" ht="12.75" customHeight="1">
      <c r="D3" s="48" t="s">
        <v>79</v>
      </c>
      <c r="E3" s="19" t="str">
        <f>VLOOKUP($K$1,'BMP info'!A:G,5,FALSE)</f>
        <v>system</v>
      </c>
      <c r="I3" s="23"/>
      <c r="K3" s="49"/>
      <c r="L3" s="23"/>
      <c r="M3" s="23"/>
      <c r="N3" s="23"/>
      <c r="O3" s="23"/>
      <c r="P3" s="23"/>
      <c r="Q3" s="23"/>
      <c r="R3" s="23"/>
      <c r="S3" s="23"/>
    </row>
    <row r="4" spans="1:19" s="20" customFormat="1" ht="12.75" customHeight="1">
      <c r="D4" s="48" t="s">
        <v>170</v>
      </c>
      <c r="E4" s="19" t="str">
        <f>VLOOKUP($K$1,'BMP info'!A:G,6,FALSE)</f>
        <v>septic</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25.786666666666665</v>
      </c>
      <c r="E13" s="29" t="str">
        <f t="shared" si="0"/>
        <v>-</v>
      </c>
      <c r="F13" s="51" t="str">
        <f t="shared" si="0"/>
        <v>-</v>
      </c>
      <c r="G13" s="305" t="s">
        <v>254</v>
      </c>
      <c r="H13" s="300"/>
      <c r="J13" s="24" t="s">
        <v>9</v>
      </c>
      <c r="K13" s="28">
        <f t="shared" ref="K13:M16" si="1">IF(K27*$D$34=0,"-",1000*K27/$D$34)</f>
        <v>25.786666666666665</v>
      </c>
      <c r="L13" s="29" t="str">
        <f t="shared" si="1"/>
        <v>-</v>
      </c>
      <c r="M13" s="51" t="str">
        <f t="shared" si="1"/>
        <v>-</v>
      </c>
      <c r="N13" s="305" t="s">
        <v>133</v>
      </c>
      <c r="O13" s="300"/>
    </row>
    <row r="14" spans="1:19">
      <c r="C14" s="24" t="s">
        <v>7</v>
      </c>
      <c r="D14" s="31">
        <f t="shared" si="0"/>
        <v>23.08</v>
      </c>
      <c r="E14" s="32" t="str">
        <f t="shared" si="0"/>
        <v>-</v>
      </c>
      <c r="F14" s="52" t="str">
        <f t="shared" si="0"/>
        <v>-</v>
      </c>
      <c r="G14" s="301"/>
      <c r="H14" s="300"/>
      <c r="J14" s="24" t="s">
        <v>7</v>
      </c>
      <c r="K14" s="31">
        <f t="shared" si="1"/>
        <v>22.973333333333333</v>
      </c>
      <c r="L14" s="32" t="str">
        <f t="shared" si="1"/>
        <v>-</v>
      </c>
      <c r="M14" s="52" t="str">
        <f t="shared" si="1"/>
        <v>-</v>
      </c>
      <c r="N14" s="301"/>
      <c r="O14" s="300"/>
    </row>
    <row r="15" spans="1:19">
      <c r="C15" s="24" t="s">
        <v>8</v>
      </c>
      <c r="D15" s="31">
        <f t="shared" si="0"/>
        <v>23.426666666666666</v>
      </c>
      <c r="E15" s="32" t="str">
        <f t="shared" si="0"/>
        <v>-</v>
      </c>
      <c r="F15" s="52" t="str">
        <f t="shared" si="0"/>
        <v>-</v>
      </c>
      <c r="G15" s="301"/>
      <c r="H15" s="300"/>
      <c r="J15" s="24" t="s">
        <v>8</v>
      </c>
      <c r="K15" s="31">
        <f t="shared" si="1"/>
        <v>23.426666666666666</v>
      </c>
      <c r="L15" s="32" t="str">
        <f t="shared" si="1"/>
        <v>-</v>
      </c>
      <c r="M15" s="52" t="str">
        <f t="shared" si="1"/>
        <v>-</v>
      </c>
      <c r="N15" s="301"/>
      <c r="O15" s="300"/>
    </row>
    <row r="16" spans="1:19" ht="13.5" thickBot="1">
      <c r="C16" s="24" t="s">
        <v>6</v>
      </c>
      <c r="D16" s="34">
        <f t="shared" si="0"/>
        <v>20.76</v>
      </c>
      <c r="E16" s="35" t="str">
        <f t="shared" si="0"/>
        <v>-</v>
      </c>
      <c r="F16" s="53" t="str">
        <f t="shared" si="0"/>
        <v>-</v>
      </c>
      <c r="G16" s="301"/>
      <c r="H16" s="300"/>
      <c r="J16" s="24" t="s">
        <v>6</v>
      </c>
      <c r="K16" s="34">
        <f t="shared" si="1"/>
        <v>20.746666666666666</v>
      </c>
      <c r="L16" s="35" t="str">
        <f t="shared" si="1"/>
        <v>-</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38.779731127197522</v>
      </c>
      <c r="E20" s="29" t="str">
        <f t="shared" si="2"/>
        <v>-</v>
      </c>
      <c r="F20" s="51" t="str">
        <f t="shared" si="2"/>
        <v>-</v>
      </c>
      <c r="G20" s="305" t="s">
        <v>253</v>
      </c>
      <c r="H20" s="300"/>
      <c r="J20" s="24" t="s">
        <v>9</v>
      </c>
      <c r="K20" s="28">
        <f t="shared" ref="K20:M23" si="3">IF(K27=0,"-",$D$34/K27)</f>
        <v>38.779731127197522</v>
      </c>
      <c r="L20" s="29" t="str">
        <f t="shared" si="3"/>
        <v>-</v>
      </c>
      <c r="M20" s="51" t="str">
        <f t="shared" si="3"/>
        <v>-</v>
      </c>
      <c r="N20" s="305" t="s">
        <v>132</v>
      </c>
      <c r="O20" s="300"/>
    </row>
    <row r="21" spans="1:16">
      <c r="C21" s="24" t="s">
        <v>7</v>
      </c>
      <c r="D21" s="31">
        <f t="shared" si="2"/>
        <v>43.327556325823224</v>
      </c>
      <c r="E21" s="32" t="str">
        <f t="shared" si="2"/>
        <v>-</v>
      </c>
      <c r="F21" s="52" t="str">
        <f t="shared" si="2"/>
        <v>-</v>
      </c>
      <c r="G21" s="301"/>
      <c r="H21" s="300"/>
      <c r="J21" s="24" t="s">
        <v>7</v>
      </c>
      <c r="K21" s="31">
        <f t="shared" si="3"/>
        <v>43.528728961114332</v>
      </c>
      <c r="L21" s="32" t="str">
        <f t="shared" si="3"/>
        <v>-</v>
      </c>
      <c r="M21" s="52" t="str">
        <f t="shared" si="3"/>
        <v>-</v>
      </c>
      <c r="N21" s="301"/>
      <c r="O21" s="300"/>
    </row>
    <row r="22" spans="1:16">
      <c r="C22" s="24" t="s">
        <v>8</v>
      </c>
      <c r="D22" s="31">
        <f t="shared" si="2"/>
        <v>42.686397268070571</v>
      </c>
      <c r="E22" s="32" t="str">
        <f t="shared" si="2"/>
        <v>-</v>
      </c>
      <c r="F22" s="52" t="str">
        <f t="shared" si="2"/>
        <v>-</v>
      </c>
      <c r="G22" s="301"/>
      <c r="H22" s="300"/>
      <c r="J22" s="24" t="s">
        <v>8</v>
      </c>
      <c r="K22" s="31">
        <f t="shared" si="3"/>
        <v>42.686397268070571</v>
      </c>
      <c r="L22" s="32" t="str">
        <f t="shared" si="3"/>
        <v>-</v>
      </c>
      <c r="M22" s="52" t="str">
        <f t="shared" si="3"/>
        <v>-</v>
      </c>
      <c r="N22" s="301"/>
      <c r="O22" s="300"/>
    </row>
    <row r="23" spans="1:16" ht="13.5" thickBot="1">
      <c r="C23" s="24" t="s">
        <v>6</v>
      </c>
      <c r="D23" s="34">
        <f t="shared" si="2"/>
        <v>48.169556840077071</v>
      </c>
      <c r="E23" s="35" t="str">
        <f t="shared" si="2"/>
        <v>-</v>
      </c>
      <c r="F23" s="53" t="str">
        <f t="shared" si="2"/>
        <v>-</v>
      </c>
      <c r="G23" s="301"/>
      <c r="H23" s="300"/>
      <c r="J23" s="24" t="s">
        <v>6</v>
      </c>
      <c r="K23" s="34">
        <f t="shared" si="3"/>
        <v>48.200514138817482</v>
      </c>
      <c r="L23" s="35" t="str">
        <f t="shared" si="3"/>
        <v>-</v>
      </c>
      <c r="M23" s="53" t="str">
        <f t="shared" si="3"/>
        <v>-</v>
      </c>
      <c r="N23" s="301"/>
      <c r="O23" s="300"/>
    </row>
    <row r="24" spans="1:16" ht="13.5" thickBot="1">
      <c r="F24" s="54"/>
    </row>
    <row r="25" spans="1:16" s="42" customFormat="1">
      <c r="A25" s="86" t="s">
        <v>255</v>
      </c>
      <c r="D25" s="43" t="s">
        <v>128</v>
      </c>
      <c r="E25" s="43"/>
      <c r="F25" s="55"/>
      <c r="H25" s="86"/>
      <c r="K25" s="43" t="s">
        <v>128</v>
      </c>
      <c r="L25" s="43" t="s">
        <v>129</v>
      </c>
      <c r="M25" s="55" t="s">
        <v>130</v>
      </c>
    </row>
    <row r="26" spans="1:16" ht="5.25" customHeight="1" thickBot="1">
      <c r="F26" s="54"/>
      <c r="M26" s="54"/>
    </row>
    <row r="27" spans="1:16" ht="12.75" customHeight="1">
      <c r="C27" s="24" t="s">
        <v>9</v>
      </c>
      <c r="D27" s="208">
        <v>19.34</v>
      </c>
      <c r="E27" s="209">
        <v>0</v>
      </c>
      <c r="F27" s="210">
        <v>0</v>
      </c>
      <c r="G27" s="305" t="str">
        <f>"EOS pounds removed per '"&amp;E3&amp;"' of practice per year"</f>
        <v>EOS pounds removed per 'system' of practice per year</v>
      </c>
      <c r="H27" s="300"/>
      <c r="J27" s="24" t="s">
        <v>9</v>
      </c>
      <c r="K27" s="56">
        <v>19.34</v>
      </c>
      <c r="L27" s="209">
        <v>0</v>
      </c>
      <c r="M27" s="210">
        <v>0</v>
      </c>
      <c r="N27" s="299" t="str">
        <f>"delivered pounds removed per '"&amp;E3&amp;"' of practice per year"</f>
        <v>delivered pounds removed per 'system' of practice per year</v>
      </c>
      <c r="O27" s="300"/>
      <c r="P27" s="204"/>
    </row>
    <row r="28" spans="1:16">
      <c r="C28" s="24" t="s">
        <v>7</v>
      </c>
      <c r="D28" s="211">
        <v>17.309999999999999</v>
      </c>
      <c r="E28" s="212">
        <v>0</v>
      </c>
      <c r="F28" s="213">
        <v>0</v>
      </c>
      <c r="G28" s="301"/>
      <c r="H28" s="300"/>
      <c r="J28" s="24" t="s">
        <v>7</v>
      </c>
      <c r="K28" s="57">
        <v>17.23</v>
      </c>
      <c r="L28" s="212">
        <v>0</v>
      </c>
      <c r="M28" s="213">
        <v>0</v>
      </c>
      <c r="N28" s="301"/>
      <c r="O28" s="300"/>
      <c r="P28" s="204"/>
    </row>
    <row r="29" spans="1:16">
      <c r="C29" s="24" t="s">
        <v>8</v>
      </c>
      <c r="D29" s="211">
        <v>17.57</v>
      </c>
      <c r="E29" s="212">
        <v>0</v>
      </c>
      <c r="F29" s="213">
        <v>0</v>
      </c>
      <c r="G29" s="301"/>
      <c r="H29" s="300"/>
      <c r="J29" s="24" t="s">
        <v>8</v>
      </c>
      <c r="K29" s="57">
        <v>17.57</v>
      </c>
      <c r="L29" s="212">
        <v>0</v>
      </c>
      <c r="M29" s="213">
        <v>0</v>
      </c>
      <c r="N29" s="301"/>
      <c r="O29" s="300"/>
      <c r="P29" s="204"/>
    </row>
    <row r="30" spans="1:16" ht="13.5" thickBot="1">
      <c r="C30" s="24" t="s">
        <v>6</v>
      </c>
      <c r="D30" s="214">
        <v>15.57</v>
      </c>
      <c r="E30" s="215">
        <v>0</v>
      </c>
      <c r="F30" s="216">
        <v>0</v>
      </c>
      <c r="G30" s="301"/>
      <c r="H30" s="300"/>
      <c r="J30" s="24" t="s">
        <v>6</v>
      </c>
      <c r="K30" s="58">
        <v>15.56</v>
      </c>
      <c r="L30" s="215">
        <v>0</v>
      </c>
      <c r="M30" s="216">
        <v>0</v>
      </c>
      <c r="N30" s="301"/>
      <c r="O30" s="300"/>
      <c r="P30" s="204"/>
    </row>
    <row r="31" spans="1:16" ht="13.5" thickBot="1"/>
    <row r="32" spans="1:16" s="42" customFormat="1">
      <c r="A32" s="86" t="s">
        <v>1</v>
      </c>
    </row>
    <row r="33" spans="1:12" ht="5.25" customHeight="1" thickBot="1"/>
    <row r="34" spans="1:12" ht="13.5" thickBot="1">
      <c r="C34" s="24" t="s">
        <v>11</v>
      </c>
      <c r="D34" s="46">
        <f>-PMT(D39,D38,D36)+D37</f>
        <v>750</v>
      </c>
      <c r="E34" s="18" t="str">
        <f>"$ per '"&amp;E3&amp;"' of practice per year"</f>
        <v>$ per 'system' of practice per year</v>
      </c>
      <c r="I34" s="82" t="s">
        <v>169</v>
      </c>
      <c r="J34" s="217" t="s">
        <v>160</v>
      </c>
      <c r="K34" s="217"/>
      <c r="L34" s="219" t="s">
        <v>165</v>
      </c>
    </row>
    <row r="35" spans="1:12" ht="5.25" customHeight="1" thickBot="1">
      <c r="C35" s="24"/>
      <c r="D35" s="47"/>
      <c r="E35" s="18"/>
      <c r="I35" s="78"/>
      <c r="J35" s="220"/>
      <c r="K35" s="220"/>
      <c r="L35" s="221"/>
    </row>
    <row r="36" spans="1:12">
      <c r="C36" s="24" t="s">
        <v>10</v>
      </c>
      <c r="D36" s="38">
        <f>J36</f>
        <v>11000</v>
      </c>
      <c r="E36" s="18" t="str">
        <f>"$ per '"&amp;E3&amp;"' of practice"</f>
        <v>$ per 'system' of practice</v>
      </c>
      <c r="I36" s="78" t="s">
        <v>162</v>
      </c>
      <c r="J36" s="235">
        <v>11000</v>
      </c>
      <c r="K36" s="236"/>
      <c r="L36" s="237"/>
    </row>
    <row r="37" spans="1:12">
      <c r="C37" s="24" t="s">
        <v>12</v>
      </c>
      <c r="D37" s="39">
        <f>J37</f>
        <v>200</v>
      </c>
      <c r="E37" s="18" t="str">
        <f>"$ per '"&amp;E3&amp;"' of practice per year"</f>
        <v>$ per 'system' of practice per year</v>
      </c>
      <c r="I37" s="78" t="s">
        <v>161</v>
      </c>
      <c r="J37" s="235">
        <v>200</v>
      </c>
      <c r="K37" s="236"/>
      <c r="L37" s="237"/>
    </row>
    <row r="38" spans="1:12">
      <c r="C38" s="24" t="s">
        <v>13</v>
      </c>
      <c r="D38" s="40">
        <f>J38</f>
        <v>20</v>
      </c>
      <c r="E38" s="18" t="s">
        <v>15</v>
      </c>
      <c r="I38" s="78" t="s">
        <v>163</v>
      </c>
      <c r="J38" s="244">
        <v>20</v>
      </c>
      <c r="K38" s="245"/>
      <c r="L38" s="246"/>
    </row>
    <row r="39" spans="1:12" ht="13.5" thickBot="1">
      <c r="C39" s="24" t="s">
        <v>14</v>
      </c>
      <c r="D39" s="41">
        <f>Summary!C35</f>
        <v>0</v>
      </c>
      <c r="E39" s="18" t="s">
        <v>16</v>
      </c>
      <c r="I39" s="80" t="s">
        <v>166</v>
      </c>
      <c r="J39" s="238">
        <f>J37+J36/J38</f>
        <v>750</v>
      </c>
      <c r="K39" s="239"/>
      <c r="L39" s="240"/>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46.xml><?xml version="1.0" encoding="utf-8"?>
<worksheet xmlns="http://schemas.openxmlformats.org/spreadsheetml/2006/main" xmlns:r="http://schemas.openxmlformats.org/officeDocument/2006/relationships">
  <sheetPr codeName="Sheet35"/>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Septic Connection ― 1,000 feet of stream</v>
      </c>
      <c r="I1" s="22"/>
      <c r="J1" s="37" t="s">
        <v>135</v>
      </c>
      <c r="K1" s="50" t="s">
        <v>149</v>
      </c>
      <c r="L1" s="22"/>
      <c r="M1" s="22"/>
      <c r="N1" s="22"/>
      <c r="O1" s="22"/>
      <c r="P1" s="22"/>
      <c r="Q1" s="22"/>
      <c r="R1" s="22"/>
    </row>
    <row r="2" spans="1:19" s="20" customFormat="1" ht="12.75" customHeight="1">
      <c r="D2" s="48" t="s">
        <v>3</v>
      </c>
      <c r="E2" s="19" t="str">
        <f>VLOOKUP($K$1,'BMP info'!A:G,4,FALSE)</f>
        <v>SepticConnect</v>
      </c>
      <c r="I2" s="23"/>
      <c r="L2" s="23"/>
      <c r="M2" s="23"/>
      <c r="N2" s="23"/>
      <c r="O2" s="23"/>
      <c r="P2" s="23"/>
      <c r="Q2" s="23"/>
      <c r="R2" s="23"/>
      <c r="S2" s="23"/>
    </row>
    <row r="3" spans="1:19" s="20" customFormat="1" ht="12.75" customHeight="1">
      <c r="D3" s="48" t="s">
        <v>79</v>
      </c>
      <c r="E3" s="19" t="str">
        <f>VLOOKUP($K$1,'BMP info'!A:G,5,FALSE)</f>
        <v>system</v>
      </c>
      <c r="I3" s="23"/>
      <c r="K3" s="49"/>
      <c r="L3" s="23"/>
      <c r="M3" s="23"/>
      <c r="N3" s="23"/>
      <c r="O3" s="23"/>
      <c r="P3" s="23"/>
      <c r="Q3" s="23"/>
      <c r="R3" s="23"/>
      <c r="S3" s="23"/>
    </row>
    <row r="4" spans="1:19" s="20" customFormat="1" ht="12.75" customHeight="1">
      <c r="D4" s="48" t="s">
        <v>170</v>
      </c>
      <c r="E4" s="19" t="str">
        <f>VLOOKUP($K$1,'BMP info'!A:G,6,FALSE)</f>
        <v>septic</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16.12</v>
      </c>
      <c r="E13" s="29" t="str">
        <f t="shared" si="0"/>
        <v>-</v>
      </c>
      <c r="F13" s="51" t="str">
        <f t="shared" si="0"/>
        <v>-</v>
      </c>
      <c r="G13" s="305" t="s">
        <v>254</v>
      </c>
      <c r="H13" s="300"/>
      <c r="J13" s="24" t="s">
        <v>9</v>
      </c>
      <c r="K13" s="28">
        <f t="shared" ref="K13:M16" si="1">IF(K27*$D$34=0,"-",1000*K27/$D$34)</f>
        <v>16.12</v>
      </c>
      <c r="L13" s="29" t="str">
        <f t="shared" si="1"/>
        <v>-</v>
      </c>
      <c r="M13" s="51" t="str">
        <f t="shared" si="1"/>
        <v>-</v>
      </c>
      <c r="N13" s="305" t="s">
        <v>133</v>
      </c>
      <c r="O13" s="300"/>
    </row>
    <row r="14" spans="1:19">
      <c r="C14" s="24" t="s">
        <v>7</v>
      </c>
      <c r="D14" s="31">
        <f t="shared" si="0"/>
        <v>15.08</v>
      </c>
      <c r="E14" s="32" t="str">
        <f t="shared" si="0"/>
        <v>-</v>
      </c>
      <c r="F14" s="52" t="str">
        <f t="shared" si="0"/>
        <v>-</v>
      </c>
      <c r="G14" s="301"/>
      <c r="H14" s="300"/>
      <c r="J14" s="24" t="s">
        <v>7</v>
      </c>
      <c r="K14" s="31">
        <f t="shared" si="1"/>
        <v>13.88</v>
      </c>
      <c r="L14" s="32" t="str">
        <f t="shared" si="1"/>
        <v>-</v>
      </c>
      <c r="M14" s="52" t="str">
        <f t="shared" si="1"/>
        <v>-</v>
      </c>
      <c r="N14" s="301"/>
      <c r="O14" s="300"/>
    </row>
    <row r="15" spans="1:19">
      <c r="C15" s="24" t="s">
        <v>8</v>
      </c>
      <c r="D15" s="31">
        <f t="shared" si="0"/>
        <v>14.826666666666666</v>
      </c>
      <c r="E15" s="32" t="str">
        <f t="shared" si="0"/>
        <v>-</v>
      </c>
      <c r="F15" s="52" t="str">
        <f t="shared" si="0"/>
        <v>-</v>
      </c>
      <c r="G15" s="301"/>
      <c r="H15" s="300"/>
      <c r="J15" s="24" t="s">
        <v>8</v>
      </c>
      <c r="K15" s="31">
        <f t="shared" si="1"/>
        <v>14.706666666666667</v>
      </c>
      <c r="L15" s="32" t="str">
        <f t="shared" si="1"/>
        <v>-</v>
      </c>
      <c r="M15" s="52" t="str">
        <f t="shared" si="1"/>
        <v>-</v>
      </c>
      <c r="N15" s="301"/>
      <c r="O15" s="300"/>
    </row>
    <row r="16" spans="1:19" ht="13.5" thickBot="1">
      <c r="C16" s="24" t="s">
        <v>6</v>
      </c>
      <c r="D16" s="34">
        <f t="shared" si="0"/>
        <v>13.706666666666667</v>
      </c>
      <c r="E16" s="35" t="str">
        <f t="shared" si="0"/>
        <v>-</v>
      </c>
      <c r="F16" s="53" t="str">
        <f t="shared" si="0"/>
        <v>-</v>
      </c>
      <c r="G16" s="301"/>
      <c r="H16" s="300"/>
      <c r="J16" s="24" t="s">
        <v>6</v>
      </c>
      <c r="K16" s="34">
        <f t="shared" si="1"/>
        <v>9.5466666666666669</v>
      </c>
      <c r="L16" s="35" t="str">
        <f t="shared" si="1"/>
        <v>-</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62.034739454094293</v>
      </c>
      <c r="E20" s="29" t="str">
        <f t="shared" si="2"/>
        <v>-</v>
      </c>
      <c r="F20" s="51" t="str">
        <f t="shared" si="2"/>
        <v>-</v>
      </c>
      <c r="G20" s="305" t="s">
        <v>253</v>
      </c>
      <c r="H20" s="300"/>
      <c r="J20" s="24" t="s">
        <v>9</v>
      </c>
      <c r="K20" s="28">
        <f t="shared" ref="K20:M23" si="3">IF(K27=0,"-",$D$34/K27)</f>
        <v>62.034739454094293</v>
      </c>
      <c r="L20" s="29" t="str">
        <f t="shared" si="3"/>
        <v>-</v>
      </c>
      <c r="M20" s="51" t="str">
        <f t="shared" si="3"/>
        <v>-</v>
      </c>
      <c r="N20" s="305" t="s">
        <v>132</v>
      </c>
      <c r="O20" s="300"/>
    </row>
    <row r="21" spans="1:16">
      <c r="C21" s="24" t="s">
        <v>7</v>
      </c>
      <c r="D21" s="31">
        <f t="shared" si="2"/>
        <v>66.312997347480106</v>
      </c>
      <c r="E21" s="32" t="str">
        <f t="shared" si="2"/>
        <v>-</v>
      </c>
      <c r="F21" s="52" t="str">
        <f t="shared" si="2"/>
        <v>-</v>
      </c>
      <c r="G21" s="301"/>
      <c r="H21" s="300"/>
      <c r="J21" s="24" t="s">
        <v>7</v>
      </c>
      <c r="K21" s="31">
        <f t="shared" si="3"/>
        <v>72.046109510086453</v>
      </c>
      <c r="L21" s="32" t="str">
        <f t="shared" si="3"/>
        <v>-</v>
      </c>
      <c r="M21" s="52" t="str">
        <f t="shared" si="3"/>
        <v>-</v>
      </c>
      <c r="N21" s="301"/>
      <c r="O21" s="300"/>
    </row>
    <row r="22" spans="1:16">
      <c r="C22" s="24" t="s">
        <v>8</v>
      </c>
      <c r="D22" s="31">
        <f t="shared" si="2"/>
        <v>67.446043165467628</v>
      </c>
      <c r="E22" s="32" t="str">
        <f t="shared" si="2"/>
        <v>-</v>
      </c>
      <c r="F22" s="52" t="str">
        <f t="shared" si="2"/>
        <v>-</v>
      </c>
      <c r="G22" s="301"/>
      <c r="H22" s="300"/>
      <c r="J22" s="24" t="s">
        <v>8</v>
      </c>
      <c r="K22" s="31">
        <f t="shared" si="3"/>
        <v>67.996373526745245</v>
      </c>
      <c r="L22" s="32" t="str">
        <f t="shared" si="3"/>
        <v>-</v>
      </c>
      <c r="M22" s="52" t="str">
        <f t="shared" si="3"/>
        <v>-</v>
      </c>
      <c r="N22" s="301"/>
      <c r="O22" s="300"/>
    </row>
    <row r="23" spans="1:16" ht="13.5" thickBot="1">
      <c r="C23" s="24" t="s">
        <v>6</v>
      </c>
      <c r="D23" s="34">
        <f t="shared" si="2"/>
        <v>72.95719844357977</v>
      </c>
      <c r="E23" s="35" t="str">
        <f t="shared" si="2"/>
        <v>-</v>
      </c>
      <c r="F23" s="53" t="str">
        <f t="shared" si="2"/>
        <v>-</v>
      </c>
      <c r="G23" s="301"/>
      <c r="H23" s="300"/>
      <c r="J23" s="24" t="s">
        <v>6</v>
      </c>
      <c r="K23" s="34">
        <f t="shared" si="3"/>
        <v>104.74860335195531</v>
      </c>
      <c r="L23" s="35" t="str">
        <f t="shared" si="3"/>
        <v>-</v>
      </c>
      <c r="M23" s="53" t="str">
        <f t="shared" si="3"/>
        <v>-</v>
      </c>
      <c r="N23" s="301"/>
      <c r="O23" s="300"/>
    </row>
    <row r="24" spans="1:16" ht="13.5" thickBot="1">
      <c r="F24" s="54"/>
    </row>
    <row r="25" spans="1:16" s="42" customFormat="1">
      <c r="A25" s="86" t="s">
        <v>255</v>
      </c>
      <c r="D25" s="43" t="s">
        <v>128</v>
      </c>
      <c r="E25" s="43"/>
      <c r="F25" s="55"/>
      <c r="H25" s="86"/>
      <c r="K25" s="43" t="s">
        <v>128</v>
      </c>
      <c r="L25" s="43" t="s">
        <v>129</v>
      </c>
      <c r="M25" s="55" t="s">
        <v>130</v>
      </c>
    </row>
    <row r="26" spans="1:16" ht="5.25" customHeight="1" thickBot="1">
      <c r="F26" s="54"/>
      <c r="M26" s="54"/>
    </row>
    <row r="27" spans="1:16" ht="12.75" customHeight="1">
      <c r="C27" s="24" t="s">
        <v>9</v>
      </c>
      <c r="D27" s="208">
        <v>12.09</v>
      </c>
      <c r="E27" s="209">
        <v>0</v>
      </c>
      <c r="F27" s="210">
        <v>0</v>
      </c>
      <c r="G27" s="305" t="str">
        <f>"EOS pounds removed per '"&amp;E3&amp;"' of practice per year"</f>
        <v>EOS pounds removed per 'system' of practice per year</v>
      </c>
      <c r="H27" s="300"/>
      <c r="J27" s="24" t="s">
        <v>9</v>
      </c>
      <c r="K27" s="56">
        <v>12.09</v>
      </c>
      <c r="L27" s="209">
        <v>0</v>
      </c>
      <c r="M27" s="210">
        <v>0</v>
      </c>
      <c r="N27" s="299" t="str">
        <f>"delivered pounds removed per '"&amp;E3&amp;"' of practice per year"</f>
        <v>delivered pounds removed per 'system' of practice per year</v>
      </c>
      <c r="O27" s="300"/>
      <c r="P27" s="204"/>
    </row>
    <row r="28" spans="1:16">
      <c r="C28" s="24" t="s">
        <v>7</v>
      </c>
      <c r="D28" s="211">
        <v>11.31</v>
      </c>
      <c r="E28" s="212">
        <v>0</v>
      </c>
      <c r="F28" s="213">
        <v>0</v>
      </c>
      <c r="G28" s="301"/>
      <c r="H28" s="300"/>
      <c r="J28" s="24" t="s">
        <v>7</v>
      </c>
      <c r="K28" s="57">
        <v>10.41</v>
      </c>
      <c r="L28" s="212">
        <v>0</v>
      </c>
      <c r="M28" s="213">
        <v>0</v>
      </c>
      <c r="N28" s="301"/>
      <c r="O28" s="300"/>
      <c r="P28" s="204"/>
    </row>
    <row r="29" spans="1:16">
      <c r="C29" s="24" t="s">
        <v>8</v>
      </c>
      <c r="D29" s="211">
        <v>11.12</v>
      </c>
      <c r="E29" s="212">
        <v>0</v>
      </c>
      <c r="F29" s="213">
        <v>0</v>
      </c>
      <c r="G29" s="301"/>
      <c r="H29" s="300"/>
      <c r="J29" s="24" t="s">
        <v>8</v>
      </c>
      <c r="K29" s="57">
        <v>11.03</v>
      </c>
      <c r="L29" s="212">
        <v>0</v>
      </c>
      <c r="M29" s="213">
        <v>0</v>
      </c>
      <c r="N29" s="301"/>
      <c r="O29" s="300"/>
      <c r="P29" s="204"/>
    </row>
    <row r="30" spans="1:16" ht="13.5" thickBot="1">
      <c r="C30" s="24" t="s">
        <v>6</v>
      </c>
      <c r="D30" s="214">
        <v>10.28</v>
      </c>
      <c r="E30" s="215">
        <v>0</v>
      </c>
      <c r="F30" s="216">
        <v>0</v>
      </c>
      <c r="G30" s="301"/>
      <c r="H30" s="300"/>
      <c r="J30" s="24" t="s">
        <v>6</v>
      </c>
      <c r="K30" s="58">
        <v>7.16</v>
      </c>
      <c r="L30" s="215">
        <v>0</v>
      </c>
      <c r="M30" s="216">
        <v>0</v>
      </c>
      <c r="N30" s="301"/>
      <c r="O30" s="300"/>
      <c r="P30" s="204"/>
    </row>
    <row r="31" spans="1:16" ht="13.5" thickBot="1"/>
    <row r="32" spans="1:16" s="42" customFormat="1">
      <c r="A32" s="86" t="s">
        <v>1</v>
      </c>
    </row>
    <row r="33" spans="1:12" ht="5.25" customHeight="1" thickBot="1"/>
    <row r="34" spans="1:12" ht="13.5" thickBot="1">
      <c r="C34" s="24" t="s">
        <v>11</v>
      </c>
      <c r="D34" s="46">
        <f>-PMT(D39,D38,D36)+D37</f>
        <v>750</v>
      </c>
      <c r="E34" s="18" t="str">
        <f>"$ per '"&amp;E3&amp;"' of practice per year"</f>
        <v>$ per 'system' of practice per year</v>
      </c>
      <c r="I34" s="82" t="s">
        <v>169</v>
      </c>
      <c r="J34" s="217" t="s">
        <v>160</v>
      </c>
      <c r="K34" s="217"/>
      <c r="L34" s="219" t="s">
        <v>165</v>
      </c>
    </row>
    <row r="35" spans="1:12" ht="5.25" customHeight="1" thickBot="1">
      <c r="C35" s="24"/>
      <c r="D35" s="47"/>
      <c r="E35" s="18"/>
      <c r="I35" s="78"/>
      <c r="J35" s="220"/>
      <c r="K35" s="220"/>
      <c r="L35" s="221"/>
    </row>
    <row r="36" spans="1:12">
      <c r="C36" s="24" t="s">
        <v>10</v>
      </c>
      <c r="D36" s="38">
        <f>J36</f>
        <v>11000</v>
      </c>
      <c r="E36" s="18" t="str">
        <f>"$ per '"&amp;E3&amp;"' of practice"</f>
        <v>$ per 'system' of practice</v>
      </c>
      <c r="I36" s="78" t="s">
        <v>162</v>
      </c>
      <c r="J36" s="235">
        <v>11000</v>
      </c>
      <c r="K36" s="236"/>
      <c r="L36" s="237"/>
    </row>
    <row r="37" spans="1:12">
      <c r="C37" s="24" t="s">
        <v>12</v>
      </c>
      <c r="D37" s="39">
        <f>J37</f>
        <v>200</v>
      </c>
      <c r="E37" s="18" t="str">
        <f>"$ per '"&amp;E3&amp;"' of practice per year"</f>
        <v>$ per 'system' of practice per year</v>
      </c>
      <c r="I37" s="78" t="s">
        <v>161</v>
      </c>
      <c r="J37" s="235">
        <v>200</v>
      </c>
      <c r="K37" s="236"/>
      <c r="L37" s="237"/>
    </row>
    <row r="38" spans="1:12">
      <c r="C38" s="24" t="s">
        <v>13</v>
      </c>
      <c r="D38" s="40">
        <f>J38</f>
        <v>20</v>
      </c>
      <c r="E38" s="18" t="s">
        <v>15</v>
      </c>
      <c r="I38" s="78" t="s">
        <v>163</v>
      </c>
      <c r="J38" s="244">
        <v>20</v>
      </c>
      <c r="K38" s="245"/>
      <c r="L38" s="246"/>
    </row>
    <row r="39" spans="1:12" ht="13.5" thickBot="1">
      <c r="C39" s="24" t="s">
        <v>14</v>
      </c>
      <c r="D39" s="41">
        <f>Summary!C35</f>
        <v>0</v>
      </c>
      <c r="E39" s="18" t="s">
        <v>16</v>
      </c>
      <c r="I39" s="80" t="s">
        <v>166</v>
      </c>
      <c r="J39" s="238">
        <f>J37+J36/J38</f>
        <v>750</v>
      </c>
      <c r="K39" s="239"/>
      <c r="L39" s="240"/>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47.xml><?xml version="1.0" encoding="utf-8"?>
<worksheet xmlns="http://schemas.openxmlformats.org/spreadsheetml/2006/main" xmlns:r="http://schemas.openxmlformats.org/officeDocument/2006/relationships">
  <sheetPr codeName="Sheet36"/>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Septic Connection ― other</v>
      </c>
      <c r="I1" s="22"/>
      <c r="J1" s="37" t="s">
        <v>135</v>
      </c>
      <c r="K1" s="50" t="s">
        <v>150</v>
      </c>
      <c r="L1" s="22"/>
      <c r="M1" s="22"/>
      <c r="N1" s="22"/>
      <c r="O1" s="22"/>
      <c r="P1" s="22"/>
      <c r="Q1" s="22"/>
      <c r="R1" s="22"/>
    </row>
    <row r="2" spans="1:19" s="20" customFormat="1" ht="12.75" customHeight="1">
      <c r="D2" s="48" t="s">
        <v>3</v>
      </c>
      <c r="E2" s="19" t="str">
        <f>VLOOKUP($K$1,'BMP info'!A:G,4,FALSE)</f>
        <v>SepticConnect</v>
      </c>
      <c r="I2" s="23"/>
      <c r="L2" s="23"/>
      <c r="M2" s="23"/>
      <c r="N2" s="23"/>
      <c r="O2" s="23"/>
      <c r="P2" s="23"/>
      <c r="Q2" s="23"/>
      <c r="R2" s="23"/>
      <c r="S2" s="23"/>
    </row>
    <row r="3" spans="1:19" s="20" customFormat="1" ht="12.75" customHeight="1">
      <c r="D3" s="48" t="s">
        <v>79</v>
      </c>
      <c r="E3" s="19" t="str">
        <f>VLOOKUP($K$1,'BMP info'!A:G,5,FALSE)</f>
        <v>system</v>
      </c>
      <c r="I3" s="23"/>
      <c r="K3" s="49"/>
      <c r="L3" s="23"/>
      <c r="M3" s="23"/>
      <c r="N3" s="23"/>
      <c r="O3" s="23"/>
      <c r="P3" s="23"/>
      <c r="Q3" s="23"/>
      <c r="R3" s="23"/>
      <c r="S3" s="23"/>
    </row>
    <row r="4" spans="1:19" s="20" customFormat="1" ht="12.75" customHeight="1">
      <c r="D4" s="48" t="s">
        <v>170</v>
      </c>
      <c r="E4" s="19" t="str">
        <f>VLOOKUP($K$1,'BMP info'!A:G,6,FALSE)</f>
        <v>septic</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8.9066666666666663</v>
      </c>
      <c r="E13" s="29" t="str">
        <f t="shared" si="0"/>
        <v>-</v>
      </c>
      <c r="F13" s="51" t="str">
        <f t="shared" si="0"/>
        <v>-</v>
      </c>
      <c r="G13" s="305" t="s">
        <v>254</v>
      </c>
      <c r="H13" s="300"/>
      <c r="J13" s="24" t="s">
        <v>9</v>
      </c>
      <c r="K13" s="28">
        <f t="shared" ref="K13:M16" si="1">IF(K27*$D$34=0,"-",1000*K27/$D$34)</f>
        <v>8.8933333333333326</v>
      </c>
      <c r="L13" s="29" t="str">
        <f t="shared" si="1"/>
        <v>-</v>
      </c>
      <c r="M13" s="51" t="str">
        <f t="shared" si="1"/>
        <v>-</v>
      </c>
      <c r="N13" s="305" t="s">
        <v>133</v>
      </c>
      <c r="O13" s="300"/>
    </row>
    <row r="14" spans="1:19">
      <c r="C14" s="24" t="s">
        <v>7</v>
      </c>
      <c r="D14" s="31">
        <f t="shared" si="0"/>
        <v>8.586666666666666</v>
      </c>
      <c r="E14" s="32" t="str">
        <f t="shared" si="0"/>
        <v>-</v>
      </c>
      <c r="F14" s="52" t="str">
        <f t="shared" si="0"/>
        <v>-</v>
      </c>
      <c r="G14" s="301"/>
      <c r="H14" s="300"/>
      <c r="J14" s="24" t="s">
        <v>7</v>
      </c>
      <c r="K14" s="31">
        <f t="shared" si="1"/>
        <v>8.0533333333333328</v>
      </c>
      <c r="L14" s="32" t="str">
        <f t="shared" si="1"/>
        <v>-</v>
      </c>
      <c r="M14" s="52" t="str">
        <f t="shared" si="1"/>
        <v>-</v>
      </c>
      <c r="N14" s="301"/>
      <c r="O14" s="300"/>
    </row>
    <row r="15" spans="1:19">
      <c r="C15" s="24" t="s">
        <v>8</v>
      </c>
      <c r="D15" s="31">
        <f t="shared" si="0"/>
        <v>8.8133333333333326</v>
      </c>
      <c r="E15" s="32" t="str">
        <f t="shared" si="0"/>
        <v>-</v>
      </c>
      <c r="F15" s="52" t="str">
        <f t="shared" si="0"/>
        <v>-</v>
      </c>
      <c r="G15" s="301"/>
      <c r="H15" s="300"/>
      <c r="J15" s="24" t="s">
        <v>8</v>
      </c>
      <c r="K15" s="31">
        <f t="shared" si="1"/>
        <v>8.76</v>
      </c>
      <c r="L15" s="32" t="str">
        <f t="shared" si="1"/>
        <v>-</v>
      </c>
      <c r="M15" s="52" t="str">
        <f t="shared" si="1"/>
        <v>-</v>
      </c>
      <c r="N15" s="301"/>
      <c r="O15" s="300"/>
    </row>
    <row r="16" spans="1:19" ht="13.5" thickBot="1">
      <c r="C16" s="24" t="s">
        <v>6</v>
      </c>
      <c r="D16" s="34">
        <f t="shared" si="0"/>
        <v>7.7866666666666671</v>
      </c>
      <c r="E16" s="35" t="str">
        <f t="shared" si="0"/>
        <v>-</v>
      </c>
      <c r="F16" s="53" t="str">
        <f t="shared" si="0"/>
        <v>-</v>
      </c>
      <c r="G16" s="301"/>
      <c r="H16" s="300"/>
      <c r="J16" s="24" t="s">
        <v>6</v>
      </c>
      <c r="K16" s="34">
        <f t="shared" si="1"/>
        <v>6.2</v>
      </c>
      <c r="L16" s="35" t="str">
        <f t="shared" si="1"/>
        <v>-</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112.27544910179641</v>
      </c>
      <c r="E20" s="29" t="str">
        <f t="shared" si="2"/>
        <v>-</v>
      </c>
      <c r="F20" s="51" t="str">
        <f t="shared" si="2"/>
        <v>-</v>
      </c>
      <c r="G20" s="305" t="s">
        <v>253</v>
      </c>
      <c r="H20" s="300"/>
      <c r="J20" s="24" t="s">
        <v>9</v>
      </c>
      <c r="K20" s="28">
        <f t="shared" ref="K20:M23" si="3">IF(K27=0,"-",$D$34/K27)</f>
        <v>112.44377811094454</v>
      </c>
      <c r="L20" s="29" t="str">
        <f t="shared" si="3"/>
        <v>-</v>
      </c>
      <c r="M20" s="51" t="str">
        <f t="shared" si="3"/>
        <v>-</v>
      </c>
      <c r="N20" s="305" t="s">
        <v>132</v>
      </c>
      <c r="O20" s="300"/>
    </row>
    <row r="21" spans="1:16">
      <c r="C21" s="24" t="s">
        <v>7</v>
      </c>
      <c r="D21" s="31">
        <f t="shared" si="2"/>
        <v>116.45962732919254</v>
      </c>
      <c r="E21" s="32" t="str">
        <f t="shared" si="2"/>
        <v>-</v>
      </c>
      <c r="F21" s="52" t="str">
        <f t="shared" si="2"/>
        <v>-</v>
      </c>
      <c r="G21" s="301"/>
      <c r="H21" s="300"/>
      <c r="J21" s="24" t="s">
        <v>7</v>
      </c>
      <c r="K21" s="31">
        <f t="shared" si="3"/>
        <v>124.17218543046357</v>
      </c>
      <c r="L21" s="32" t="str">
        <f t="shared" si="3"/>
        <v>-</v>
      </c>
      <c r="M21" s="52" t="str">
        <f t="shared" si="3"/>
        <v>-</v>
      </c>
      <c r="N21" s="301"/>
      <c r="O21" s="300"/>
    </row>
    <row r="22" spans="1:16">
      <c r="C22" s="24" t="s">
        <v>8</v>
      </c>
      <c r="D22" s="31">
        <f t="shared" si="2"/>
        <v>113.464447806354</v>
      </c>
      <c r="E22" s="32" t="str">
        <f t="shared" si="2"/>
        <v>-</v>
      </c>
      <c r="F22" s="52" t="str">
        <f t="shared" si="2"/>
        <v>-</v>
      </c>
      <c r="G22" s="301"/>
      <c r="H22" s="300"/>
      <c r="J22" s="24" t="s">
        <v>8</v>
      </c>
      <c r="K22" s="31">
        <f t="shared" si="3"/>
        <v>114.15525114155251</v>
      </c>
      <c r="L22" s="32" t="str">
        <f t="shared" si="3"/>
        <v>-</v>
      </c>
      <c r="M22" s="52" t="str">
        <f t="shared" si="3"/>
        <v>-</v>
      </c>
      <c r="N22" s="301"/>
      <c r="O22" s="300"/>
    </row>
    <row r="23" spans="1:16" ht="13.5" thickBot="1">
      <c r="C23" s="24" t="s">
        <v>6</v>
      </c>
      <c r="D23" s="34">
        <f t="shared" si="2"/>
        <v>128.42465753424659</v>
      </c>
      <c r="E23" s="35" t="str">
        <f t="shared" si="2"/>
        <v>-</v>
      </c>
      <c r="F23" s="53" t="str">
        <f t="shared" si="2"/>
        <v>-</v>
      </c>
      <c r="G23" s="301"/>
      <c r="H23" s="300"/>
      <c r="J23" s="24" t="s">
        <v>6</v>
      </c>
      <c r="K23" s="34">
        <f t="shared" si="3"/>
        <v>161.29032258064515</v>
      </c>
      <c r="L23" s="35" t="str">
        <f t="shared" si="3"/>
        <v>-</v>
      </c>
      <c r="M23" s="53" t="str">
        <f t="shared" si="3"/>
        <v>-</v>
      </c>
      <c r="N23" s="301"/>
      <c r="O23" s="300"/>
    </row>
    <row r="24" spans="1:16" ht="13.5" thickBot="1">
      <c r="F24" s="54"/>
    </row>
    <row r="25" spans="1:16" s="42" customFormat="1">
      <c r="A25" s="86" t="s">
        <v>255</v>
      </c>
      <c r="D25" s="43" t="s">
        <v>128</v>
      </c>
      <c r="E25" s="43"/>
      <c r="F25" s="55"/>
      <c r="H25" s="86"/>
      <c r="K25" s="43" t="s">
        <v>128</v>
      </c>
      <c r="L25" s="43" t="s">
        <v>129</v>
      </c>
      <c r="M25" s="55" t="s">
        <v>130</v>
      </c>
    </row>
    <row r="26" spans="1:16" ht="5.25" customHeight="1" thickBot="1">
      <c r="F26" s="54"/>
      <c r="M26" s="54"/>
    </row>
    <row r="27" spans="1:16" ht="12.75" customHeight="1">
      <c r="C27" s="24" t="s">
        <v>9</v>
      </c>
      <c r="D27" s="208">
        <v>6.68</v>
      </c>
      <c r="E27" s="209">
        <v>0</v>
      </c>
      <c r="F27" s="210">
        <v>0</v>
      </c>
      <c r="G27" s="305" t="str">
        <f>"EOS pounds removed per '"&amp;E3&amp;"' of practice per year"</f>
        <v>EOS pounds removed per 'system' of practice per year</v>
      </c>
      <c r="H27" s="300"/>
      <c r="J27" s="24" t="s">
        <v>9</v>
      </c>
      <c r="K27" s="56">
        <v>6.67</v>
      </c>
      <c r="L27" s="209">
        <v>0</v>
      </c>
      <c r="M27" s="210">
        <v>0</v>
      </c>
      <c r="N27" s="299" t="str">
        <f>"delivered pounds removed per '"&amp;E3&amp;"' of practice per year"</f>
        <v>delivered pounds removed per 'system' of practice per year</v>
      </c>
      <c r="O27" s="300"/>
      <c r="P27" s="204"/>
    </row>
    <row r="28" spans="1:16">
      <c r="C28" s="24" t="s">
        <v>7</v>
      </c>
      <c r="D28" s="211">
        <v>6.44</v>
      </c>
      <c r="E28" s="212">
        <v>0</v>
      </c>
      <c r="F28" s="213">
        <v>0</v>
      </c>
      <c r="G28" s="301"/>
      <c r="H28" s="300"/>
      <c r="J28" s="24" t="s">
        <v>7</v>
      </c>
      <c r="K28" s="57">
        <v>6.04</v>
      </c>
      <c r="L28" s="212">
        <v>0</v>
      </c>
      <c r="M28" s="213">
        <v>0</v>
      </c>
      <c r="N28" s="301"/>
      <c r="O28" s="300"/>
      <c r="P28" s="204"/>
    </row>
    <row r="29" spans="1:16">
      <c r="C29" s="24" t="s">
        <v>8</v>
      </c>
      <c r="D29" s="211">
        <v>6.61</v>
      </c>
      <c r="E29" s="212">
        <v>0</v>
      </c>
      <c r="F29" s="213">
        <v>0</v>
      </c>
      <c r="G29" s="301"/>
      <c r="H29" s="300"/>
      <c r="J29" s="24" t="s">
        <v>8</v>
      </c>
      <c r="K29" s="57">
        <v>6.57</v>
      </c>
      <c r="L29" s="212">
        <v>0</v>
      </c>
      <c r="M29" s="213">
        <v>0</v>
      </c>
      <c r="N29" s="301"/>
      <c r="O29" s="300"/>
      <c r="P29" s="204"/>
    </row>
    <row r="30" spans="1:16" ht="13.5" thickBot="1">
      <c r="C30" s="24" t="s">
        <v>6</v>
      </c>
      <c r="D30" s="214">
        <v>5.84</v>
      </c>
      <c r="E30" s="215">
        <v>0</v>
      </c>
      <c r="F30" s="216">
        <v>0</v>
      </c>
      <c r="G30" s="301"/>
      <c r="H30" s="300"/>
      <c r="J30" s="24" t="s">
        <v>6</v>
      </c>
      <c r="K30" s="58">
        <v>4.6500000000000004</v>
      </c>
      <c r="L30" s="215">
        <v>0</v>
      </c>
      <c r="M30" s="216">
        <v>0</v>
      </c>
      <c r="N30" s="301"/>
      <c r="O30" s="300"/>
      <c r="P30" s="204"/>
    </row>
    <row r="31" spans="1:16" ht="13.5" thickBot="1"/>
    <row r="32" spans="1:16" s="42" customFormat="1">
      <c r="A32" s="86" t="s">
        <v>1</v>
      </c>
    </row>
    <row r="33" spans="1:12" ht="5.25" customHeight="1" thickBot="1"/>
    <row r="34" spans="1:12" ht="13.5" thickBot="1">
      <c r="C34" s="24" t="s">
        <v>11</v>
      </c>
      <c r="D34" s="46">
        <f>-PMT(D39,D38,D36)+D37</f>
        <v>750</v>
      </c>
      <c r="E34" s="18" t="str">
        <f>"$ per '"&amp;E3&amp;"' of practice per year"</f>
        <v>$ per 'system' of practice per year</v>
      </c>
      <c r="I34" s="82" t="s">
        <v>169</v>
      </c>
      <c r="J34" s="217" t="s">
        <v>160</v>
      </c>
      <c r="K34" s="217"/>
      <c r="L34" s="219" t="s">
        <v>165</v>
      </c>
    </row>
    <row r="35" spans="1:12" ht="5.25" customHeight="1" thickBot="1">
      <c r="C35" s="24"/>
      <c r="D35" s="47"/>
      <c r="E35" s="18"/>
      <c r="I35" s="78"/>
      <c r="J35" s="220"/>
      <c r="K35" s="220"/>
      <c r="L35" s="221"/>
    </row>
    <row r="36" spans="1:12">
      <c r="C36" s="24" t="s">
        <v>10</v>
      </c>
      <c r="D36" s="38">
        <f>J36</f>
        <v>11000</v>
      </c>
      <c r="E36" s="18" t="str">
        <f>"$ per '"&amp;E3&amp;"' of practice"</f>
        <v>$ per 'system' of practice</v>
      </c>
      <c r="I36" s="78" t="s">
        <v>162</v>
      </c>
      <c r="J36" s="235">
        <v>11000</v>
      </c>
      <c r="K36" s="236"/>
      <c r="L36" s="237"/>
    </row>
    <row r="37" spans="1:12">
      <c r="C37" s="24" t="s">
        <v>12</v>
      </c>
      <c r="D37" s="39">
        <f>J37</f>
        <v>200</v>
      </c>
      <c r="E37" s="18" t="str">
        <f>"$ per '"&amp;E3&amp;"' of practice per year"</f>
        <v>$ per 'system' of practice per year</v>
      </c>
      <c r="I37" s="78" t="s">
        <v>161</v>
      </c>
      <c r="J37" s="235">
        <v>200</v>
      </c>
      <c r="K37" s="236"/>
      <c r="L37" s="237"/>
    </row>
    <row r="38" spans="1:12">
      <c r="C38" s="24" t="s">
        <v>13</v>
      </c>
      <c r="D38" s="40">
        <f>J38</f>
        <v>20</v>
      </c>
      <c r="E38" s="18" t="s">
        <v>15</v>
      </c>
      <c r="I38" s="78" t="s">
        <v>163</v>
      </c>
      <c r="J38" s="244">
        <v>20</v>
      </c>
      <c r="K38" s="245"/>
      <c r="L38" s="246"/>
    </row>
    <row r="39" spans="1:12" ht="13.5" thickBot="1">
      <c r="C39" s="24" t="s">
        <v>14</v>
      </c>
      <c r="D39" s="41">
        <f>Summary!C35</f>
        <v>0</v>
      </c>
      <c r="E39" s="18" t="s">
        <v>16</v>
      </c>
      <c r="I39" s="80" t="s">
        <v>166</v>
      </c>
      <c r="J39" s="238">
        <f>J37+J36/J38</f>
        <v>750</v>
      </c>
      <c r="K39" s="239"/>
      <c r="L39" s="240"/>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48.xml><?xml version="1.0" encoding="utf-8"?>
<worksheet xmlns="http://schemas.openxmlformats.org/spreadsheetml/2006/main" xmlns:r="http://schemas.openxmlformats.org/officeDocument/2006/relationships">
  <sheetPr codeName="Sheet31"/>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1" style="17" bestFit="1" customWidth="1"/>
    <col min="13" max="16384" width="9.140625" style="17"/>
  </cols>
  <sheetData>
    <row r="1" spans="1:19" s="20" customFormat="1" ht="21" customHeight="1">
      <c r="A1" s="302" t="s">
        <v>136</v>
      </c>
      <c r="B1" s="303"/>
      <c r="D1" s="25" t="s">
        <v>134</v>
      </c>
      <c r="E1" s="89" t="str">
        <f>VLOOKUP($K$1,'BMP info'!A:G,3,FALSE)</f>
        <v>Septic Denitrification ― Critical Area</v>
      </c>
      <c r="I1" s="22"/>
      <c r="J1" s="37" t="s">
        <v>135</v>
      </c>
      <c r="K1" s="50" t="s">
        <v>151</v>
      </c>
      <c r="L1" s="22"/>
      <c r="M1" s="22"/>
      <c r="N1" s="22"/>
      <c r="O1" s="22"/>
      <c r="P1" s="22"/>
      <c r="Q1" s="22"/>
      <c r="R1" s="22"/>
    </row>
    <row r="2" spans="1:19" s="20" customFormat="1" ht="12.75" customHeight="1">
      <c r="D2" s="48" t="s">
        <v>3</v>
      </c>
      <c r="E2" s="19" t="str">
        <f>VLOOKUP($K$1,'BMP info'!A:G,4,FALSE)</f>
        <v>SepticDenitrify</v>
      </c>
      <c r="I2" s="23"/>
      <c r="L2" s="23"/>
      <c r="M2" s="23"/>
      <c r="N2" s="23"/>
      <c r="O2" s="23"/>
      <c r="P2" s="23"/>
      <c r="Q2" s="23"/>
      <c r="R2" s="23"/>
      <c r="S2" s="23"/>
    </row>
    <row r="3" spans="1:19" s="20" customFormat="1" ht="12.75" customHeight="1">
      <c r="D3" s="48" t="s">
        <v>79</v>
      </c>
      <c r="E3" s="19" t="str">
        <f>VLOOKUP($K$1,'BMP info'!A:G,5,FALSE)</f>
        <v>system</v>
      </c>
      <c r="I3" s="23"/>
      <c r="K3" s="49"/>
      <c r="L3" s="23"/>
      <c r="M3" s="23"/>
      <c r="N3" s="23"/>
      <c r="O3" s="23"/>
      <c r="P3" s="23"/>
      <c r="Q3" s="23"/>
      <c r="R3" s="23"/>
      <c r="S3" s="23"/>
    </row>
    <row r="4" spans="1:19" s="20" customFormat="1" ht="12.75" customHeight="1">
      <c r="D4" s="48" t="s">
        <v>170</v>
      </c>
      <c r="E4" s="19" t="str">
        <f>VLOOKUP($K$1,'BMP info'!A:G,6,FALSE)</f>
        <v>septic</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12.441895972585078</v>
      </c>
      <c r="E13" s="29" t="str">
        <f t="shared" si="0"/>
        <v>-</v>
      </c>
      <c r="F13" s="51" t="str">
        <f t="shared" si="0"/>
        <v>-</v>
      </c>
      <c r="G13" s="305" t="s">
        <v>254</v>
      </c>
      <c r="H13" s="300"/>
      <c r="J13" s="24" t="s">
        <v>9</v>
      </c>
      <c r="K13" s="28">
        <f t="shared" ref="K13:M16" si="1">IF(K27*$D$34=0,"-",1000*K27/$D$34)</f>
        <v>12.441895972585078</v>
      </c>
      <c r="L13" s="29" t="str">
        <f t="shared" si="1"/>
        <v>-</v>
      </c>
      <c r="M13" s="51" t="str">
        <f t="shared" si="1"/>
        <v>-</v>
      </c>
      <c r="N13" s="305" t="s">
        <v>133</v>
      </c>
      <c r="O13" s="300"/>
    </row>
    <row r="14" spans="1:19">
      <c r="C14" s="24" t="s">
        <v>7</v>
      </c>
      <c r="D14" s="31">
        <f t="shared" si="0"/>
        <v>11.617061082793306</v>
      </c>
      <c r="E14" s="32" t="str">
        <f t="shared" si="0"/>
        <v>-</v>
      </c>
      <c r="F14" s="52" t="str">
        <f t="shared" si="0"/>
        <v>-</v>
      </c>
      <c r="G14" s="301"/>
      <c r="H14" s="300"/>
      <c r="J14" s="24" t="s">
        <v>7</v>
      </c>
      <c r="K14" s="31">
        <f t="shared" si="1"/>
        <v>11.554018392019714</v>
      </c>
      <c r="L14" s="32" t="str">
        <f t="shared" si="1"/>
        <v>-</v>
      </c>
      <c r="M14" s="52" t="str">
        <f t="shared" si="1"/>
        <v>-</v>
      </c>
      <c r="N14" s="301"/>
      <c r="O14" s="300"/>
    </row>
    <row r="15" spans="1:19">
      <c r="C15" s="24" t="s">
        <v>8</v>
      </c>
      <c r="D15" s="31">
        <f t="shared" si="0"/>
        <v>11.964784447590972</v>
      </c>
      <c r="E15" s="32" t="str">
        <f t="shared" si="0"/>
        <v>-</v>
      </c>
      <c r="F15" s="52" t="str">
        <f t="shared" si="0"/>
        <v>-</v>
      </c>
      <c r="G15" s="301"/>
      <c r="H15" s="300"/>
      <c r="J15" s="24" t="s">
        <v>8</v>
      </c>
      <c r="K15" s="31">
        <f t="shared" si="1"/>
        <v>11.964784447590972</v>
      </c>
      <c r="L15" s="32" t="str">
        <f t="shared" si="1"/>
        <v>-</v>
      </c>
      <c r="M15" s="52" t="str">
        <f t="shared" si="1"/>
        <v>-</v>
      </c>
      <c r="N15" s="301"/>
      <c r="O15" s="300"/>
    </row>
    <row r="16" spans="1:19" ht="13.5" thickBot="1">
      <c r="C16" s="24" t="s">
        <v>6</v>
      </c>
      <c r="D16" s="34">
        <f t="shared" si="0"/>
        <v>10.561200367519014</v>
      </c>
      <c r="E16" s="35" t="str">
        <f t="shared" si="0"/>
        <v>-</v>
      </c>
      <c r="F16" s="53" t="str">
        <f t="shared" si="0"/>
        <v>-</v>
      </c>
      <c r="G16" s="301"/>
      <c r="H16" s="300"/>
      <c r="J16" s="24" t="s">
        <v>6</v>
      </c>
      <c r="K16" s="34">
        <f t="shared" si="1"/>
        <v>10.556370260969873</v>
      </c>
      <c r="L16" s="35" t="str">
        <f t="shared" si="1"/>
        <v>-</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80.373602399781845</v>
      </c>
      <c r="E20" s="29" t="str">
        <f t="shared" si="2"/>
        <v>-</v>
      </c>
      <c r="F20" s="51" t="str">
        <f t="shared" si="2"/>
        <v>-</v>
      </c>
      <c r="G20" s="305" t="s">
        <v>253</v>
      </c>
      <c r="H20" s="300"/>
      <c r="J20" s="24" t="s">
        <v>9</v>
      </c>
      <c r="K20" s="28">
        <f t="shared" ref="K20:M23" si="3">IF(K27=0,"-",$D$34/K27)</f>
        <v>80.373602399781845</v>
      </c>
      <c r="L20" s="29" t="str">
        <f t="shared" si="3"/>
        <v>-</v>
      </c>
      <c r="M20" s="51" t="str">
        <f t="shared" si="3"/>
        <v>-</v>
      </c>
      <c r="N20" s="305" t="s">
        <v>132</v>
      </c>
      <c r="O20" s="300"/>
    </row>
    <row r="21" spans="1:16">
      <c r="C21" s="24" t="s">
        <v>7</v>
      </c>
      <c r="D21" s="31">
        <f t="shared" si="2"/>
        <v>86.080291122955117</v>
      </c>
      <c r="E21" s="32" t="str">
        <f t="shared" si="2"/>
        <v>-</v>
      </c>
      <c r="F21" s="52" t="str">
        <f t="shared" si="2"/>
        <v>-</v>
      </c>
      <c r="G21" s="301"/>
      <c r="H21" s="300"/>
      <c r="J21" s="24" t="s">
        <v>7</v>
      </c>
      <c r="K21" s="31">
        <f t="shared" si="3"/>
        <v>86.549974742180922</v>
      </c>
      <c r="L21" s="32" t="str">
        <f t="shared" si="3"/>
        <v>-</v>
      </c>
      <c r="M21" s="52" t="str">
        <f t="shared" si="3"/>
        <v>-</v>
      </c>
      <c r="N21" s="301"/>
      <c r="O21" s="300"/>
    </row>
    <row r="22" spans="1:16">
      <c r="C22" s="24" t="s">
        <v>8</v>
      </c>
      <c r="D22" s="31">
        <f t="shared" si="2"/>
        <v>83.578605563708535</v>
      </c>
      <c r="E22" s="32" t="str">
        <f t="shared" si="2"/>
        <v>-</v>
      </c>
      <c r="F22" s="52" t="str">
        <f t="shared" si="2"/>
        <v>-</v>
      </c>
      <c r="G22" s="301"/>
      <c r="H22" s="300"/>
      <c r="J22" s="24" t="s">
        <v>8</v>
      </c>
      <c r="K22" s="31">
        <f t="shared" si="3"/>
        <v>83.578605563708535</v>
      </c>
      <c r="L22" s="32" t="str">
        <f t="shared" si="3"/>
        <v>-</v>
      </c>
      <c r="M22" s="52" t="str">
        <f t="shared" si="3"/>
        <v>-</v>
      </c>
      <c r="N22" s="301"/>
      <c r="O22" s="300"/>
    </row>
    <row r="23" spans="1:16" ht="13.5" thickBot="1">
      <c r="C23" s="24" t="s">
        <v>6</v>
      </c>
      <c r="D23" s="34">
        <f t="shared" si="2"/>
        <v>94.686206605406454</v>
      </c>
      <c r="E23" s="35" t="str">
        <f t="shared" si="2"/>
        <v>-</v>
      </c>
      <c r="F23" s="53" t="str">
        <f t="shared" si="2"/>
        <v>-</v>
      </c>
      <c r="G23" s="301"/>
      <c r="H23" s="300"/>
      <c r="J23" s="24" t="s">
        <v>6</v>
      </c>
      <c r="K23" s="34">
        <f t="shared" si="3"/>
        <v>94.729530632068261</v>
      </c>
      <c r="L23" s="35" t="str">
        <f t="shared" si="3"/>
        <v>-</v>
      </c>
      <c r="M23" s="53" t="str">
        <f t="shared" si="3"/>
        <v>-</v>
      </c>
      <c r="N23" s="301"/>
      <c r="O23" s="300"/>
    </row>
    <row r="24" spans="1:16" ht="13.5" thickBot="1">
      <c r="F24" s="54"/>
    </row>
    <row r="25" spans="1:16" s="42" customFormat="1">
      <c r="A25" s="86" t="s">
        <v>255</v>
      </c>
      <c r="D25" s="43" t="s">
        <v>128</v>
      </c>
      <c r="E25" s="43"/>
      <c r="F25" s="55"/>
      <c r="H25" s="86"/>
      <c r="K25" s="43" t="s">
        <v>128</v>
      </c>
      <c r="L25" s="43" t="s">
        <v>129</v>
      </c>
      <c r="M25" s="55" t="s">
        <v>130</v>
      </c>
    </row>
    <row r="26" spans="1:16" ht="5.25" customHeight="1" thickBot="1">
      <c r="F26" s="54"/>
      <c r="M26" s="54"/>
    </row>
    <row r="27" spans="1:16" ht="12.75" customHeight="1">
      <c r="C27" s="24" t="s">
        <v>9</v>
      </c>
      <c r="D27" s="208">
        <v>9.1675000000000004</v>
      </c>
      <c r="E27" s="209">
        <v>0</v>
      </c>
      <c r="F27" s="210">
        <v>0</v>
      </c>
      <c r="G27" s="305" t="str">
        <f>"EOS pounds removed per '"&amp;E3&amp;"' of practice per year"</f>
        <v>EOS pounds removed per 'system' of practice per year</v>
      </c>
      <c r="H27" s="300"/>
      <c r="J27" s="24" t="s">
        <v>9</v>
      </c>
      <c r="K27" s="56">
        <v>9.1675000000000004</v>
      </c>
      <c r="L27" s="209">
        <v>0</v>
      </c>
      <c r="M27" s="210">
        <v>0</v>
      </c>
      <c r="N27" s="299" t="str">
        <f>"delivered pounds removed per '"&amp;E3&amp;"' of practice per year"</f>
        <v>delivered pounds removed per 'system' of practice per year</v>
      </c>
      <c r="O27" s="300"/>
      <c r="P27" s="204"/>
    </row>
    <row r="28" spans="1:16">
      <c r="C28" s="24" t="s">
        <v>7</v>
      </c>
      <c r="D28" s="211">
        <v>8.5597410323291783</v>
      </c>
      <c r="E28" s="212">
        <v>0</v>
      </c>
      <c r="F28" s="213">
        <v>0</v>
      </c>
      <c r="G28" s="301"/>
      <c r="H28" s="300"/>
      <c r="J28" s="24" t="s">
        <v>7</v>
      </c>
      <c r="K28" s="57">
        <v>8.5132896016999258</v>
      </c>
      <c r="L28" s="212">
        <v>0</v>
      </c>
      <c r="M28" s="213">
        <v>0</v>
      </c>
      <c r="N28" s="301"/>
      <c r="O28" s="300"/>
      <c r="P28" s="204"/>
    </row>
    <row r="29" spans="1:16">
      <c r="C29" s="24" t="s">
        <v>8</v>
      </c>
      <c r="D29" s="211">
        <v>8.8159523005962175</v>
      </c>
      <c r="E29" s="212">
        <v>0</v>
      </c>
      <c r="F29" s="213">
        <v>0</v>
      </c>
      <c r="G29" s="301"/>
      <c r="H29" s="300"/>
      <c r="J29" s="24" t="s">
        <v>8</v>
      </c>
      <c r="K29" s="57">
        <v>8.8159523005962175</v>
      </c>
      <c r="L29" s="212">
        <v>0</v>
      </c>
      <c r="M29" s="213">
        <v>0</v>
      </c>
      <c r="N29" s="301"/>
      <c r="O29" s="300"/>
      <c r="P29" s="204"/>
    </row>
    <row r="30" spans="1:16" ht="13.5" thickBot="1">
      <c r="C30" s="24" t="s">
        <v>6</v>
      </c>
      <c r="D30" s="214">
        <v>7.7817564607971983</v>
      </c>
      <c r="E30" s="215">
        <v>0</v>
      </c>
      <c r="F30" s="216">
        <v>0</v>
      </c>
      <c r="G30" s="301"/>
      <c r="H30" s="300"/>
      <c r="J30" s="24" t="s">
        <v>6</v>
      </c>
      <c r="K30" s="58">
        <v>7.7781975175391267</v>
      </c>
      <c r="L30" s="215">
        <v>0</v>
      </c>
      <c r="M30" s="216">
        <v>0</v>
      </c>
      <c r="N30" s="301"/>
      <c r="O30" s="300"/>
      <c r="P30" s="204"/>
    </row>
    <row r="31" spans="1:16" ht="13.5" thickBot="1"/>
    <row r="32" spans="1:16" s="42" customFormat="1">
      <c r="A32" s="86" t="s">
        <v>1</v>
      </c>
    </row>
    <row r="33" spans="1:12" ht="5.25" customHeight="1" thickBot="1"/>
    <row r="34" spans="1:12" ht="13.5" thickBot="1">
      <c r="C34" s="24" t="s">
        <v>11</v>
      </c>
      <c r="D34" s="46">
        <f>-PMT(D39,D38,D36)+D37</f>
        <v>736.82500000000005</v>
      </c>
      <c r="E34" s="18" t="str">
        <f>"$ per '"&amp;E3&amp;"' of practice per year"</f>
        <v>$ per 'system' of practice per year</v>
      </c>
      <c r="I34" s="82" t="s">
        <v>169</v>
      </c>
      <c r="J34" s="217" t="s">
        <v>160</v>
      </c>
      <c r="K34" s="217" t="s">
        <v>229</v>
      </c>
      <c r="L34" s="219" t="s">
        <v>165</v>
      </c>
    </row>
    <row r="35" spans="1:12" ht="5.25" customHeight="1" thickBot="1">
      <c r="C35" s="24"/>
      <c r="D35" s="47"/>
      <c r="E35" s="18"/>
      <c r="I35" s="78"/>
      <c r="J35" s="220"/>
      <c r="K35" s="220"/>
      <c r="L35" s="221"/>
    </row>
    <row r="36" spans="1:12">
      <c r="C36" s="24" t="s">
        <v>10</v>
      </c>
      <c r="D36" s="38">
        <f>L36</f>
        <v>11326.5</v>
      </c>
      <c r="E36" s="18" t="str">
        <f>"$ per '"&amp;E3&amp;"' of practice"</f>
        <v>$ per 'system' of practice</v>
      </c>
      <c r="I36" s="78" t="s">
        <v>162</v>
      </c>
      <c r="J36" s="236">
        <v>9653</v>
      </c>
      <c r="K36" s="236">
        <v>13000</v>
      </c>
      <c r="L36" s="241">
        <f>AVERAGE(J36:K36)</f>
        <v>11326.5</v>
      </c>
    </row>
    <row r="37" spans="1:12">
      <c r="C37" s="24" t="s">
        <v>12</v>
      </c>
      <c r="D37" s="39">
        <f>L37</f>
        <v>170.5</v>
      </c>
      <c r="E37" s="18" t="str">
        <f>"$ per '"&amp;E3&amp;"' of practice per year"</f>
        <v>$ per 'system' of practice per year</v>
      </c>
      <c r="I37" s="78" t="s">
        <v>161</v>
      </c>
      <c r="J37" s="236">
        <v>341</v>
      </c>
      <c r="K37" s="236">
        <v>0</v>
      </c>
      <c r="L37" s="241">
        <f>AVERAGE(J37:K37)</f>
        <v>170.5</v>
      </c>
    </row>
    <row r="38" spans="1:12">
      <c r="C38" s="24" t="s">
        <v>13</v>
      </c>
      <c r="D38" s="40">
        <f>L38</f>
        <v>20</v>
      </c>
      <c r="E38" s="18" t="s">
        <v>15</v>
      </c>
      <c r="I38" s="78" t="s">
        <v>163</v>
      </c>
      <c r="J38" s="245">
        <v>20</v>
      </c>
      <c r="K38" s="245">
        <v>20</v>
      </c>
      <c r="L38" s="247">
        <v>20</v>
      </c>
    </row>
    <row r="39" spans="1:12" ht="13.5" thickBot="1">
      <c r="C39" s="24" t="s">
        <v>14</v>
      </c>
      <c r="D39" s="41">
        <f>Summary!C35</f>
        <v>0</v>
      </c>
      <c r="E39" s="18" t="s">
        <v>16</v>
      </c>
      <c r="I39" s="80" t="s">
        <v>166</v>
      </c>
      <c r="J39" s="239">
        <f>J37+J36/J38</f>
        <v>823.65</v>
      </c>
      <c r="K39" s="239">
        <f>K36/K38</f>
        <v>650</v>
      </c>
      <c r="L39" s="242">
        <f>L36/L38+L37</f>
        <v>736.82500000000005</v>
      </c>
    </row>
    <row r="40" spans="1:12">
      <c r="F40" s="234"/>
    </row>
    <row r="41" spans="1:12" ht="12.75" customHeight="1">
      <c r="I41" s="304" t="s">
        <v>228</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49.xml><?xml version="1.0" encoding="utf-8"?>
<worksheet xmlns="http://schemas.openxmlformats.org/spreadsheetml/2006/main" xmlns:r="http://schemas.openxmlformats.org/officeDocument/2006/relationships">
  <sheetPr codeName="Sheet32"/>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1" style="17" bestFit="1" customWidth="1"/>
    <col min="13" max="16384" width="9.140625" style="17"/>
  </cols>
  <sheetData>
    <row r="1" spans="1:19" s="20" customFormat="1" ht="21" customHeight="1">
      <c r="A1" s="302" t="s">
        <v>136</v>
      </c>
      <c r="B1" s="303"/>
      <c r="D1" s="25" t="s">
        <v>134</v>
      </c>
      <c r="E1" s="89" t="str">
        <f>VLOOKUP($K$1,'BMP info'!A:G,3,FALSE)</f>
        <v>Septic Denitrification ― 1,000 feet of stream</v>
      </c>
      <c r="I1" s="22"/>
      <c r="J1" s="37" t="s">
        <v>135</v>
      </c>
      <c r="K1" s="50" t="s">
        <v>152</v>
      </c>
      <c r="L1" s="22"/>
      <c r="M1" s="22"/>
      <c r="N1" s="22"/>
      <c r="O1" s="22"/>
      <c r="P1" s="22"/>
      <c r="Q1" s="22"/>
      <c r="R1" s="22"/>
    </row>
    <row r="2" spans="1:19" s="20" customFormat="1" ht="12.75" customHeight="1">
      <c r="D2" s="48" t="s">
        <v>3</v>
      </c>
      <c r="E2" s="19" t="str">
        <f>VLOOKUP($K$1,'BMP info'!A:G,4,FALSE)</f>
        <v>SepticDenitrify</v>
      </c>
      <c r="I2" s="23"/>
      <c r="L2" s="23"/>
      <c r="M2" s="23"/>
      <c r="N2" s="23"/>
      <c r="O2" s="23"/>
      <c r="P2" s="23"/>
      <c r="Q2" s="23"/>
      <c r="R2" s="23"/>
      <c r="S2" s="23"/>
    </row>
    <row r="3" spans="1:19" s="20" customFormat="1" ht="12.75" customHeight="1">
      <c r="D3" s="48" t="s">
        <v>79</v>
      </c>
      <c r="E3" s="19" t="str">
        <f>VLOOKUP($K$1,'BMP info'!A:G,5,FALSE)</f>
        <v>system</v>
      </c>
      <c r="I3" s="23"/>
      <c r="K3" s="49"/>
      <c r="L3" s="23"/>
      <c r="M3" s="23"/>
      <c r="N3" s="23"/>
      <c r="O3" s="23"/>
      <c r="P3" s="23"/>
      <c r="Q3" s="23"/>
      <c r="R3" s="23"/>
      <c r="S3" s="23"/>
    </row>
    <row r="4" spans="1:19" s="20" customFormat="1" ht="12.75" customHeight="1">
      <c r="D4" s="48" t="s">
        <v>170</v>
      </c>
      <c r="E4" s="19" t="str">
        <f>VLOOKUP($K$1,'BMP info'!A:G,6,FALSE)</f>
        <v>septic</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7.9801852543005456</v>
      </c>
      <c r="E13" s="29" t="str">
        <f t="shared" si="0"/>
        <v>-</v>
      </c>
      <c r="F13" s="51" t="str">
        <f t="shared" si="0"/>
        <v>-</v>
      </c>
      <c r="G13" s="305" t="s">
        <v>254</v>
      </c>
      <c r="H13" s="300"/>
      <c r="J13" s="24" t="s">
        <v>9</v>
      </c>
      <c r="K13" s="28">
        <f t="shared" ref="K13:M16" si="1">IF(K27*$D$34=0,"-",1000*K27/$D$34)</f>
        <v>7.7223221253350518</v>
      </c>
      <c r="L13" s="29" t="str">
        <f t="shared" si="1"/>
        <v>-</v>
      </c>
      <c r="M13" s="51" t="str">
        <f t="shared" si="1"/>
        <v>-</v>
      </c>
      <c r="N13" s="305" t="s">
        <v>133</v>
      </c>
      <c r="O13" s="300"/>
    </row>
    <row r="14" spans="1:19">
      <c r="C14" s="24" t="s">
        <v>7</v>
      </c>
      <c r="D14" s="31">
        <f t="shared" si="0"/>
        <v>7.2880263291826415</v>
      </c>
      <c r="E14" s="32" t="str">
        <f t="shared" si="0"/>
        <v>-</v>
      </c>
      <c r="F14" s="52" t="str">
        <f t="shared" si="0"/>
        <v>-</v>
      </c>
      <c r="G14" s="301"/>
      <c r="H14" s="300"/>
      <c r="J14" s="24" t="s">
        <v>7</v>
      </c>
      <c r="K14" s="31">
        <f t="shared" si="1"/>
        <v>6.3108607878397169</v>
      </c>
      <c r="L14" s="32" t="str">
        <f t="shared" si="1"/>
        <v>-</v>
      </c>
      <c r="M14" s="52" t="str">
        <f t="shared" si="1"/>
        <v>-</v>
      </c>
      <c r="N14" s="301"/>
      <c r="O14" s="300"/>
    </row>
    <row r="15" spans="1:19">
      <c r="C15" s="24" t="s">
        <v>8</v>
      </c>
      <c r="D15" s="31">
        <f t="shared" si="0"/>
        <v>7.5323177145183724</v>
      </c>
      <c r="E15" s="32" t="str">
        <f t="shared" si="0"/>
        <v>-</v>
      </c>
      <c r="F15" s="52" t="str">
        <f t="shared" si="0"/>
        <v>-</v>
      </c>
      <c r="G15" s="301"/>
      <c r="H15" s="300"/>
      <c r="J15" s="24" t="s">
        <v>8</v>
      </c>
      <c r="K15" s="31">
        <f t="shared" si="1"/>
        <v>6.7315848403623653</v>
      </c>
      <c r="L15" s="32" t="str">
        <f t="shared" si="1"/>
        <v>-</v>
      </c>
      <c r="M15" s="52" t="str">
        <f t="shared" si="1"/>
        <v>-</v>
      </c>
      <c r="N15" s="301"/>
      <c r="O15" s="300"/>
    </row>
    <row r="16" spans="1:19" ht="13.5" thickBot="1">
      <c r="C16" s="24" t="s">
        <v>6</v>
      </c>
      <c r="D16" s="34">
        <f t="shared" si="0"/>
        <v>6.5822956604349736</v>
      </c>
      <c r="E16" s="35" t="str">
        <f t="shared" si="0"/>
        <v>-</v>
      </c>
      <c r="F16" s="53" t="str">
        <f t="shared" si="0"/>
        <v>-</v>
      </c>
      <c r="G16" s="301"/>
      <c r="H16" s="300"/>
      <c r="J16" s="24" t="s">
        <v>6</v>
      </c>
      <c r="K16" s="34">
        <f t="shared" si="1"/>
        <v>3.5422250873680996</v>
      </c>
      <c r="L16" s="35" t="str">
        <f t="shared" si="1"/>
        <v>-</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125.31037414965988</v>
      </c>
      <c r="E20" s="29" t="str">
        <f t="shared" si="2"/>
        <v>-</v>
      </c>
      <c r="F20" s="51" t="str">
        <f t="shared" si="2"/>
        <v>-</v>
      </c>
      <c r="G20" s="305" t="s">
        <v>253</v>
      </c>
      <c r="H20" s="300"/>
      <c r="J20" s="24" t="s">
        <v>9</v>
      </c>
      <c r="K20" s="28">
        <f t="shared" ref="K20:M23" si="3">IF(K27=0,"-",$D$34/K27)</f>
        <v>129.49472759226714</v>
      </c>
      <c r="L20" s="29" t="str">
        <f t="shared" si="3"/>
        <v>-</v>
      </c>
      <c r="M20" s="51" t="str">
        <f t="shared" si="3"/>
        <v>-</v>
      </c>
      <c r="N20" s="305" t="s">
        <v>132</v>
      </c>
      <c r="O20" s="300"/>
    </row>
    <row r="21" spans="1:16">
      <c r="C21" s="24" t="s">
        <v>7</v>
      </c>
      <c r="D21" s="31">
        <f t="shared" si="2"/>
        <v>137.21135940409684</v>
      </c>
      <c r="E21" s="32" t="str">
        <f t="shared" si="2"/>
        <v>-</v>
      </c>
      <c r="F21" s="52" t="str">
        <f t="shared" si="2"/>
        <v>-</v>
      </c>
      <c r="G21" s="301"/>
      <c r="H21" s="300"/>
      <c r="J21" s="24" t="s">
        <v>7</v>
      </c>
      <c r="K21" s="31">
        <f t="shared" si="3"/>
        <v>158.45698924731184</v>
      </c>
      <c r="L21" s="32" t="str">
        <f t="shared" si="3"/>
        <v>-</v>
      </c>
      <c r="M21" s="52" t="str">
        <f t="shared" si="3"/>
        <v>-</v>
      </c>
      <c r="N21" s="301"/>
      <c r="O21" s="300"/>
    </row>
    <row r="22" spans="1:16">
      <c r="C22" s="24" t="s">
        <v>8</v>
      </c>
      <c r="D22" s="31">
        <f t="shared" si="2"/>
        <v>132.76126126126127</v>
      </c>
      <c r="E22" s="32" t="str">
        <f t="shared" si="2"/>
        <v>-</v>
      </c>
      <c r="F22" s="52" t="str">
        <f t="shared" si="2"/>
        <v>-</v>
      </c>
      <c r="G22" s="301"/>
      <c r="H22" s="300"/>
      <c r="J22" s="24" t="s">
        <v>8</v>
      </c>
      <c r="K22" s="31">
        <f t="shared" si="3"/>
        <v>148.55342741935485</v>
      </c>
      <c r="L22" s="32" t="str">
        <f t="shared" si="3"/>
        <v>-</v>
      </c>
      <c r="M22" s="52" t="str">
        <f t="shared" si="3"/>
        <v>-</v>
      </c>
      <c r="N22" s="301"/>
      <c r="O22" s="300"/>
    </row>
    <row r="23" spans="1:16" ht="13.5" thickBot="1">
      <c r="C23" s="24" t="s">
        <v>6</v>
      </c>
      <c r="D23" s="34">
        <f t="shared" si="2"/>
        <v>151.92268041237116</v>
      </c>
      <c r="E23" s="35" t="str">
        <f t="shared" si="2"/>
        <v>-</v>
      </c>
      <c r="F23" s="53" t="str">
        <f t="shared" si="2"/>
        <v>-</v>
      </c>
      <c r="G23" s="301"/>
      <c r="H23" s="300"/>
      <c r="J23" s="24" t="s">
        <v>6</v>
      </c>
      <c r="K23" s="34">
        <f t="shared" si="3"/>
        <v>282.30842911877397</v>
      </c>
      <c r="L23" s="35" t="str">
        <f t="shared" si="3"/>
        <v>-</v>
      </c>
      <c r="M23" s="53" t="str">
        <f t="shared" si="3"/>
        <v>-</v>
      </c>
      <c r="N23" s="301"/>
      <c r="O23" s="300"/>
    </row>
    <row r="24" spans="1:16" ht="13.5" thickBot="1">
      <c r="F24" s="54"/>
    </row>
    <row r="25" spans="1:16" s="42" customFormat="1">
      <c r="A25" s="86" t="s">
        <v>255</v>
      </c>
      <c r="D25" s="43" t="s">
        <v>128</v>
      </c>
      <c r="E25" s="43"/>
      <c r="F25" s="55"/>
      <c r="H25" s="86"/>
      <c r="K25" s="43" t="s">
        <v>128</v>
      </c>
      <c r="L25" s="43" t="s">
        <v>129</v>
      </c>
      <c r="M25" s="55" t="s">
        <v>130</v>
      </c>
    </row>
    <row r="26" spans="1:16" ht="5.25" customHeight="1" thickBot="1">
      <c r="F26" s="54"/>
      <c r="M26" s="54"/>
    </row>
    <row r="27" spans="1:16" ht="12.75" customHeight="1">
      <c r="C27" s="24" t="s">
        <v>9</v>
      </c>
      <c r="D27" s="208">
        <v>5.88</v>
      </c>
      <c r="E27" s="209">
        <v>0</v>
      </c>
      <c r="F27" s="210">
        <v>0</v>
      </c>
      <c r="G27" s="305" t="str">
        <f>"EOS pounds removed per '"&amp;E3&amp;"' of practice per year"</f>
        <v>EOS pounds removed per 'system' of practice per year</v>
      </c>
      <c r="H27" s="300"/>
      <c r="J27" s="24" t="s">
        <v>9</v>
      </c>
      <c r="K27" s="56">
        <v>5.69</v>
      </c>
      <c r="L27" s="209">
        <v>0</v>
      </c>
      <c r="M27" s="210">
        <v>0</v>
      </c>
      <c r="N27" s="299" t="str">
        <f>"delivered pounds removed per '"&amp;E3&amp;"' of practice per year"</f>
        <v>delivered pounds removed per 'system' of practice per year</v>
      </c>
      <c r="O27" s="300"/>
      <c r="P27" s="204"/>
    </row>
    <row r="28" spans="1:16">
      <c r="C28" s="24" t="s">
        <v>7</v>
      </c>
      <c r="D28" s="211">
        <v>5.37</v>
      </c>
      <c r="E28" s="212">
        <v>0</v>
      </c>
      <c r="F28" s="213">
        <v>0</v>
      </c>
      <c r="G28" s="301"/>
      <c r="H28" s="300"/>
      <c r="J28" s="24" t="s">
        <v>7</v>
      </c>
      <c r="K28" s="57">
        <v>4.6500000000000004</v>
      </c>
      <c r="L28" s="212">
        <v>0</v>
      </c>
      <c r="M28" s="213">
        <v>0</v>
      </c>
      <c r="N28" s="301"/>
      <c r="O28" s="300"/>
      <c r="P28" s="204"/>
    </row>
    <row r="29" spans="1:16">
      <c r="C29" s="24" t="s">
        <v>8</v>
      </c>
      <c r="D29" s="211">
        <v>5.55</v>
      </c>
      <c r="E29" s="212">
        <v>0</v>
      </c>
      <c r="F29" s="213">
        <v>0</v>
      </c>
      <c r="G29" s="301"/>
      <c r="H29" s="300"/>
      <c r="J29" s="24" t="s">
        <v>8</v>
      </c>
      <c r="K29" s="57">
        <v>4.96</v>
      </c>
      <c r="L29" s="212">
        <v>0</v>
      </c>
      <c r="M29" s="213">
        <v>0</v>
      </c>
      <c r="N29" s="301"/>
      <c r="O29" s="300"/>
      <c r="P29" s="204"/>
    </row>
    <row r="30" spans="1:16" ht="13.5" thickBot="1">
      <c r="C30" s="24" t="s">
        <v>6</v>
      </c>
      <c r="D30" s="214">
        <v>4.8499999999999996</v>
      </c>
      <c r="E30" s="215">
        <v>0</v>
      </c>
      <c r="F30" s="216">
        <v>0</v>
      </c>
      <c r="G30" s="301"/>
      <c r="H30" s="300"/>
      <c r="J30" s="24" t="s">
        <v>6</v>
      </c>
      <c r="K30" s="58">
        <v>2.61</v>
      </c>
      <c r="L30" s="215">
        <v>0</v>
      </c>
      <c r="M30" s="216">
        <v>0</v>
      </c>
      <c r="N30" s="301"/>
      <c r="O30" s="300"/>
      <c r="P30" s="204"/>
    </row>
    <row r="31" spans="1:16" ht="13.5" thickBot="1"/>
    <row r="32" spans="1:16" s="42" customFormat="1">
      <c r="A32" s="86" t="s">
        <v>1</v>
      </c>
    </row>
    <row r="33" spans="1:12" ht="5.25" customHeight="1" thickBot="1"/>
    <row r="34" spans="1:12" ht="13.5" thickBot="1">
      <c r="C34" s="24" t="s">
        <v>11</v>
      </c>
      <c r="D34" s="46">
        <f>-PMT(D39,D38,D36)+D37</f>
        <v>736.82500000000005</v>
      </c>
      <c r="E34" s="18" t="str">
        <f>"$ per '"&amp;E3&amp;"' of practice per year"</f>
        <v>$ per 'system' of practice per year</v>
      </c>
      <c r="I34" s="82" t="s">
        <v>169</v>
      </c>
      <c r="J34" s="217" t="s">
        <v>160</v>
      </c>
      <c r="K34" s="217" t="s">
        <v>229</v>
      </c>
      <c r="L34" s="219" t="s">
        <v>165</v>
      </c>
    </row>
    <row r="35" spans="1:12" ht="5.25" customHeight="1" thickBot="1">
      <c r="C35" s="24"/>
      <c r="D35" s="47"/>
      <c r="E35" s="18"/>
      <c r="I35" s="78"/>
      <c r="J35" s="220"/>
      <c r="K35" s="220"/>
      <c r="L35" s="221"/>
    </row>
    <row r="36" spans="1:12">
      <c r="C36" s="24" t="s">
        <v>10</v>
      </c>
      <c r="D36" s="38">
        <f>L36</f>
        <v>11326.5</v>
      </c>
      <c r="E36" s="18" t="str">
        <f>"$ per '"&amp;E3&amp;"' of practice"</f>
        <v>$ per 'system' of practice</v>
      </c>
      <c r="I36" s="78" t="s">
        <v>162</v>
      </c>
      <c r="J36" s="236">
        <v>9653</v>
      </c>
      <c r="K36" s="236">
        <v>13000</v>
      </c>
      <c r="L36" s="241">
        <f>AVERAGE(J36:K36)</f>
        <v>11326.5</v>
      </c>
    </row>
    <row r="37" spans="1:12">
      <c r="C37" s="24" t="s">
        <v>12</v>
      </c>
      <c r="D37" s="39">
        <f>L37</f>
        <v>170.5</v>
      </c>
      <c r="E37" s="18" t="str">
        <f>"$ per '"&amp;E3&amp;"' of practice per year"</f>
        <v>$ per 'system' of practice per year</v>
      </c>
      <c r="I37" s="78" t="s">
        <v>161</v>
      </c>
      <c r="J37" s="236">
        <v>341</v>
      </c>
      <c r="K37" s="236">
        <v>0</v>
      </c>
      <c r="L37" s="241">
        <f>AVERAGE(J37:K37)</f>
        <v>170.5</v>
      </c>
    </row>
    <row r="38" spans="1:12">
      <c r="C38" s="24" t="s">
        <v>13</v>
      </c>
      <c r="D38" s="40">
        <f>L38</f>
        <v>20</v>
      </c>
      <c r="E38" s="18" t="s">
        <v>15</v>
      </c>
      <c r="I38" s="78" t="s">
        <v>163</v>
      </c>
      <c r="J38" s="245">
        <v>20</v>
      </c>
      <c r="K38" s="245">
        <v>20</v>
      </c>
      <c r="L38" s="247">
        <v>20</v>
      </c>
    </row>
    <row r="39" spans="1:12" ht="13.5" thickBot="1">
      <c r="C39" s="24" t="s">
        <v>14</v>
      </c>
      <c r="D39" s="41">
        <f>Summary!C35</f>
        <v>0</v>
      </c>
      <c r="E39" s="18" t="s">
        <v>16</v>
      </c>
      <c r="I39" s="80" t="s">
        <v>166</v>
      </c>
      <c r="J39" s="239">
        <f>J37+J36/J38</f>
        <v>823.65</v>
      </c>
      <c r="K39" s="239">
        <f>K36/K38</f>
        <v>650</v>
      </c>
      <c r="L39" s="242">
        <f>L36/L38</f>
        <v>566.32500000000005</v>
      </c>
    </row>
    <row r="40" spans="1:12">
      <c r="F40" s="234"/>
    </row>
    <row r="41" spans="1:12">
      <c r="I41" s="304" t="s">
        <v>228</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25">
    <pageSetUpPr fitToPage="1"/>
  </sheetPr>
  <dimension ref="A1:V69"/>
  <sheetViews>
    <sheetView zoomScale="85" workbookViewId="0">
      <pane xSplit="4" ySplit="2" topLeftCell="E3" activePane="bottomRight" state="frozenSplit"/>
      <selection sqref="A1:B1"/>
      <selection pane="topRight" sqref="A1:B1"/>
      <selection pane="bottomLeft" sqref="A1:B1"/>
      <selection pane="bottomRight" activeCell="A69" sqref="A69"/>
    </sheetView>
  </sheetViews>
  <sheetFormatPr defaultRowHeight="12.75"/>
  <cols>
    <col min="1" max="1" width="7.7109375" style="1" bestFit="1" customWidth="1"/>
    <col min="2" max="2" width="9" style="1" customWidth="1"/>
    <col min="3" max="3" width="45.7109375" style="1" customWidth="1"/>
    <col min="4" max="4" width="21.140625" style="1" customWidth="1"/>
    <col min="5" max="5" width="4.28515625" style="17" customWidth="1"/>
    <col min="6" max="6" width="9.140625" style="59"/>
    <col min="7" max="7" width="9.28515625" style="59" bestFit="1" customWidth="1"/>
    <col min="8" max="8" width="9.140625" style="59"/>
    <col min="9" max="9" width="20.28515625" style="1" bestFit="1" customWidth="1"/>
    <col min="10" max="10" width="4.28515625" style="17" customWidth="1"/>
    <col min="11" max="11" width="11.5703125" style="1" bestFit="1" customWidth="1"/>
    <col min="12" max="12" width="12.5703125" style="1" customWidth="1"/>
    <col min="13" max="13" width="4.28515625" style="17" customWidth="1"/>
    <col min="14" max="16" width="9.140625" style="59"/>
    <col min="17" max="17" width="8.85546875" style="1" bestFit="1" customWidth="1"/>
    <col min="18" max="18" width="4.28515625" style="17" customWidth="1"/>
    <col min="19" max="21" width="9.140625" style="59"/>
    <col min="22" max="22" width="5.5703125" style="1" bestFit="1" customWidth="1"/>
    <col min="23" max="16384" width="9.140625" style="1"/>
  </cols>
  <sheetData>
    <row r="1" spans="1:22" ht="16.5" thickBot="1">
      <c r="A1" s="294" t="s">
        <v>195</v>
      </c>
      <c r="B1" s="295"/>
      <c r="C1" s="297"/>
      <c r="D1" s="297"/>
      <c r="F1" s="294" t="s">
        <v>192</v>
      </c>
      <c r="G1" s="295"/>
      <c r="H1" s="297"/>
      <c r="I1" s="297"/>
      <c r="K1" s="294" t="s">
        <v>193</v>
      </c>
      <c r="L1" s="295"/>
      <c r="N1" s="294" t="s">
        <v>259</v>
      </c>
      <c r="O1" s="295"/>
      <c r="P1" s="295"/>
      <c r="Q1" s="296"/>
      <c r="S1" s="294" t="s">
        <v>194</v>
      </c>
      <c r="T1" s="295"/>
      <c r="U1" s="295"/>
      <c r="V1" s="296"/>
    </row>
    <row r="2" spans="1:22" s="60" customFormat="1" ht="13.5" thickBot="1">
      <c r="A2" s="121" t="s">
        <v>0</v>
      </c>
      <c r="B2" s="122" t="s">
        <v>68</v>
      </c>
      <c r="C2" s="123" t="s">
        <v>71</v>
      </c>
      <c r="D2" s="124" t="s">
        <v>72</v>
      </c>
      <c r="E2" s="18"/>
      <c r="F2" s="117" t="s">
        <v>181</v>
      </c>
      <c r="G2" s="118" t="s">
        <v>182</v>
      </c>
      <c r="H2" s="118" t="s">
        <v>183</v>
      </c>
      <c r="I2" s="119" t="s">
        <v>79</v>
      </c>
      <c r="J2" s="18"/>
      <c r="K2" s="120" t="s">
        <v>191</v>
      </c>
      <c r="L2" s="119" t="s">
        <v>79</v>
      </c>
      <c r="M2" s="18"/>
      <c r="N2" s="117" t="s">
        <v>181</v>
      </c>
      <c r="O2" s="118" t="s">
        <v>182</v>
      </c>
      <c r="P2" s="118" t="s">
        <v>183</v>
      </c>
      <c r="Q2" s="119" t="s">
        <v>79</v>
      </c>
      <c r="R2" s="18"/>
      <c r="S2" s="117" t="s">
        <v>181</v>
      </c>
      <c r="T2" s="118" t="s">
        <v>182</v>
      </c>
      <c r="U2" s="118" t="s">
        <v>183</v>
      </c>
      <c r="V2" s="119" t="s">
        <v>79</v>
      </c>
    </row>
    <row r="3" spans="1:22" ht="33.75">
      <c r="A3" s="7">
        <v>1</v>
      </c>
      <c r="B3" s="11" t="s">
        <v>60</v>
      </c>
      <c r="C3" s="71" t="s">
        <v>115</v>
      </c>
      <c r="D3" s="125" t="s">
        <v>116</v>
      </c>
      <c r="F3" s="69">
        <f>'1'!K$30</f>
        <v>0</v>
      </c>
      <c r="G3" s="70">
        <f>'1'!K$29</f>
        <v>0</v>
      </c>
      <c r="H3" s="70">
        <f>'1'!K$27</f>
        <v>0</v>
      </c>
      <c r="I3" s="115" t="str">
        <f>"pounds of TN reduced
per "&amp;'BMP info'!E2&amp;"
per year"</f>
        <v>pounds of TN reduced
per animal unit
per year</v>
      </c>
      <c r="J3" s="83"/>
      <c r="K3" s="104">
        <f>'1'!D$34</f>
        <v>5</v>
      </c>
      <c r="L3" s="115" t="str">
        <f>"per "&amp;'BMP info'!E2&amp;"
per year"</f>
        <v>per animal unit
per year</v>
      </c>
      <c r="M3" s="83"/>
      <c r="N3" s="76">
        <f t="shared" ref="N3:N35" si="0">IF($K3=0,"-",1000*F3/$K3)</f>
        <v>0</v>
      </c>
      <c r="O3" s="77">
        <f t="shared" ref="O3:O35" si="1">IF($K3=0,"-",1000*G3/$K3)</f>
        <v>0</v>
      </c>
      <c r="P3" s="77">
        <f t="shared" ref="P3:P35" si="2">IF($K3=0,"-",1000*H3/$K3)</f>
        <v>0</v>
      </c>
      <c r="Q3" s="115" t="s">
        <v>137</v>
      </c>
      <c r="R3" s="83"/>
      <c r="S3" s="106" t="str">
        <f t="shared" ref="S3:S34" si="3">IF($K3*H3=0,"-",$K3/H3)</f>
        <v>-</v>
      </c>
      <c r="T3" s="107" t="str">
        <f t="shared" ref="T3:T34" si="4">IF($K3*G3=0,"-",$K3/G3)</f>
        <v>-</v>
      </c>
      <c r="U3" s="107" t="str">
        <f t="shared" ref="U3:U34" si="5">IF($K3*F3=0,"-",$K3/F3)</f>
        <v>-</v>
      </c>
      <c r="V3" s="115" t="s">
        <v>190</v>
      </c>
    </row>
    <row r="4" spans="1:22" ht="33.75">
      <c r="A4" s="8">
        <v>2</v>
      </c>
      <c r="B4" s="12" t="s">
        <v>60</v>
      </c>
      <c r="C4" s="71" t="s">
        <v>75</v>
      </c>
      <c r="D4" s="66" t="s">
        <v>76</v>
      </c>
      <c r="F4" s="69">
        <f>'2'!K$30</f>
        <v>0</v>
      </c>
      <c r="G4" s="70">
        <f>'2'!K$29</f>
        <v>0</v>
      </c>
      <c r="H4" s="70">
        <f>'2'!K$27</f>
        <v>0</v>
      </c>
      <c r="I4" s="115" t="str">
        <f>"pounds of TN reduced
per "&amp;'BMP info'!E3&amp;"
per year"</f>
        <v>pounds of TN reduced
per animal unit
per year</v>
      </c>
      <c r="J4" s="83"/>
      <c r="K4" s="104">
        <f>'2'!D$34</f>
        <v>23.2</v>
      </c>
      <c r="L4" s="115" t="str">
        <f>"per "&amp;'BMP info'!E3&amp;"
per year"</f>
        <v>per animal unit
per year</v>
      </c>
      <c r="M4" s="83"/>
      <c r="N4" s="76">
        <f t="shared" si="0"/>
        <v>0</v>
      </c>
      <c r="O4" s="77">
        <f t="shared" si="1"/>
        <v>0</v>
      </c>
      <c r="P4" s="77">
        <f t="shared" si="2"/>
        <v>0</v>
      </c>
      <c r="Q4" s="115" t="s">
        <v>137</v>
      </c>
      <c r="R4" s="83"/>
      <c r="S4" s="106" t="str">
        <f t="shared" si="3"/>
        <v>-</v>
      </c>
      <c r="T4" s="107" t="str">
        <f t="shared" si="4"/>
        <v>-</v>
      </c>
      <c r="U4" s="107" t="str">
        <f t="shared" si="5"/>
        <v>-</v>
      </c>
      <c r="V4" s="115" t="s">
        <v>190</v>
      </c>
    </row>
    <row r="5" spans="1:22" ht="33.75">
      <c r="A5" s="8">
        <v>3</v>
      </c>
      <c r="B5" s="12" t="s">
        <v>60</v>
      </c>
      <c r="C5" s="71" t="s">
        <v>77</v>
      </c>
      <c r="D5" s="66" t="s">
        <v>78</v>
      </c>
      <c r="F5" s="73">
        <f>'3'!K$30</f>
        <v>1.33</v>
      </c>
      <c r="G5" s="74">
        <f>'3'!K$29</f>
        <v>8.59</v>
      </c>
      <c r="H5" s="74">
        <f>'3'!K$27</f>
        <v>31.25</v>
      </c>
      <c r="I5" s="115" t="str">
        <f>"pounds of TN reduced
per "&amp;'BMP info'!E4&amp;"
per year"</f>
        <v>pounds of TN reduced
per acre
per year</v>
      </c>
      <c r="J5" s="83"/>
      <c r="K5" s="103">
        <f>'3'!D$34</f>
        <v>570</v>
      </c>
      <c r="L5" s="115" t="str">
        <f>"per "&amp;'BMP info'!E4&amp;"
per year"</f>
        <v>per acre
per year</v>
      </c>
      <c r="M5" s="83"/>
      <c r="N5" s="62">
        <f t="shared" si="0"/>
        <v>2.3333333333333335</v>
      </c>
      <c r="O5" s="63">
        <f t="shared" si="1"/>
        <v>15.070175438596491</v>
      </c>
      <c r="P5" s="63">
        <f t="shared" si="2"/>
        <v>54.824561403508774</v>
      </c>
      <c r="Q5" s="115" t="s">
        <v>137</v>
      </c>
      <c r="R5" s="83"/>
      <c r="S5" s="108">
        <f t="shared" si="3"/>
        <v>18.239999999999998</v>
      </c>
      <c r="T5" s="109">
        <f t="shared" si="4"/>
        <v>66.35622817229337</v>
      </c>
      <c r="U5" s="109">
        <f t="shared" si="5"/>
        <v>428.57142857142856</v>
      </c>
      <c r="V5" s="115" t="s">
        <v>190</v>
      </c>
    </row>
    <row r="6" spans="1:22" ht="33.75">
      <c r="A6" s="8">
        <v>4</v>
      </c>
      <c r="B6" s="12" t="s">
        <v>60</v>
      </c>
      <c r="C6" s="71" t="s">
        <v>98</v>
      </c>
      <c r="D6" s="66" t="s">
        <v>99</v>
      </c>
      <c r="F6" s="73">
        <f>'4'!K$30</f>
        <v>78.2</v>
      </c>
      <c r="G6" s="74">
        <f>'4'!K$29</f>
        <v>103.88</v>
      </c>
      <c r="H6" s="74">
        <f>'4'!K$27</f>
        <v>144.81</v>
      </c>
      <c r="I6" s="115" t="str">
        <f>"pounds of TN reduced
per "&amp;'BMP info'!E5&amp;"
per year"</f>
        <v>pounds of TN reduced
per acre
per year</v>
      </c>
      <c r="J6" s="83"/>
      <c r="K6" s="104">
        <f>'4'!D$34</f>
        <v>500</v>
      </c>
      <c r="L6" s="115" t="str">
        <f>"per "&amp;'BMP info'!E5&amp;"
per year"</f>
        <v>per acre
per year</v>
      </c>
      <c r="M6" s="83"/>
      <c r="N6" s="84">
        <f t="shared" si="0"/>
        <v>156.4</v>
      </c>
      <c r="O6" s="85">
        <f t="shared" si="1"/>
        <v>207.76</v>
      </c>
      <c r="P6" s="85">
        <f t="shared" si="2"/>
        <v>289.62</v>
      </c>
      <c r="Q6" s="115" t="s">
        <v>137</v>
      </c>
      <c r="R6" s="83"/>
      <c r="S6" s="110">
        <f t="shared" si="3"/>
        <v>3.4528002209792139</v>
      </c>
      <c r="T6" s="111">
        <f t="shared" si="4"/>
        <v>4.8132460531382364</v>
      </c>
      <c r="U6" s="111">
        <f t="shared" si="5"/>
        <v>6.3938618925831197</v>
      </c>
      <c r="V6" s="115" t="s">
        <v>190</v>
      </c>
    </row>
    <row r="7" spans="1:22" ht="33.75">
      <c r="A7" s="8">
        <v>5</v>
      </c>
      <c r="B7" s="12" t="s">
        <v>60</v>
      </c>
      <c r="C7" s="71" t="s">
        <v>73</v>
      </c>
      <c r="D7" s="66" t="s">
        <v>74</v>
      </c>
      <c r="F7" s="73">
        <f>'5'!K$30</f>
        <v>8.0500000000000007</v>
      </c>
      <c r="G7" s="74">
        <f>'5'!K$29</f>
        <v>10.23</v>
      </c>
      <c r="H7" s="74">
        <f>'5'!K$27</f>
        <v>10.8</v>
      </c>
      <c r="I7" s="115" t="str">
        <f>"pounds of TN reduced
per "&amp;'BMP info'!E6&amp;"
per year"</f>
        <v>pounds of TN reduced
per acre
per year</v>
      </c>
      <c r="J7" s="83"/>
      <c r="K7" s="104">
        <f>'5'!D$34</f>
        <v>18.100000000000001</v>
      </c>
      <c r="L7" s="115" t="str">
        <f>"per "&amp;'BMP info'!E6&amp;"
per year"</f>
        <v>per acre
per year</v>
      </c>
      <c r="M7" s="83"/>
      <c r="N7" s="84">
        <f t="shared" si="0"/>
        <v>444.75138121546962</v>
      </c>
      <c r="O7" s="85">
        <f t="shared" si="1"/>
        <v>565.19337016574582</v>
      </c>
      <c r="P7" s="85">
        <f t="shared" si="2"/>
        <v>596.68508287292809</v>
      </c>
      <c r="Q7" s="115" t="s">
        <v>137</v>
      </c>
      <c r="R7" s="83"/>
      <c r="S7" s="110">
        <f t="shared" si="3"/>
        <v>1.675925925925926</v>
      </c>
      <c r="T7" s="111">
        <f t="shared" si="4"/>
        <v>1.7693059628543499</v>
      </c>
      <c r="U7" s="111">
        <f t="shared" si="5"/>
        <v>2.2484472049689441</v>
      </c>
      <c r="V7" s="115" t="s">
        <v>190</v>
      </c>
    </row>
    <row r="8" spans="1:22" ht="33.75">
      <c r="A8" s="8">
        <v>6</v>
      </c>
      <c r="B8" s="12" t="s">
        <v>60</v>
      </c>
      <c r="C8" s="71" t="s">
        <v>94</v>
      </c>
      <c r="D8" s="66" t="s">
        <v>95</v>
      </c>
      <c r="F8" s="73">
        <f>'6'!K$30</f>
        <v>159.91999999999999</v>
      </c>
      <c r="G8" s="74">
        <f>'6'!K$29</f>
        <v>264.17</v>
      </c>
      <c r="H8" s="74">
        <f>'6'!K$27</f>
        <v>518.30999999999995</v>
      </c>
      <c r="I8" s="115" t="str">
        <f>"pounds of TN reduced
per "&amp;'BMP info'!E7&amp;"
per year"</f>
        <v>pounds of TN reduced
per acre
per year</v>
      </c>
      <c r="J8" s="83"/>
      <c r="K8" s="104">
        <f>'6'!D$34</f>
        <v>350</v>
      </c>
      <c r="L8" s="115" t="str">
        <f>"per "&amp;'BMP info'!E7&amp;"
per year"</f>
        <v>per acre
per year</v>
      </c>
      <c r="M8" s="83"/>
      <c r="N8" s="84">
        <f t="shared" si="0"/>
        <v>456.91428571428571</v>
      </c>
      <c r="O8" s="85">
        <f t="shared" si="1"/>
        <v>754.7714285714286</v>
      </c>
      <c r="P8" s="85">
        <f t="shared" si="2"/>
        <v>1480.8857142857141</v>
      </c>
      <c r="Q8" s="115" t="s">
        <v>137</v>
      </c>
      <c r="R8" s="83"/>
      <c r="S8" s="110">
        <f t="shared" si="3"/>
        <v>0.67527155563272956</v>
      </c>
      <c r="T8" s="111">
        <f t="shared" si="4"/>
        <v>1.3249044176098723</v>
      </c>
      <c r="U8" s="111">
        <f t="shared" si="5"/>
        <v>2.1885942971485743</v>
      </c>
      <c r="V8" s="115" t="s">
        <v>190</v>
      </c>
    </row>
    <row r="9" spans="1:22" ht="33.75">
      <c r="A9" s="8">
        <v>7</v>
      </c>
      <c r="B9" s="12" t="s">
        <v>60</v>
      </c>
      <c r="C9" s="71" t="s">
        <v>123</v>
      </c>
      <c r="D9" s="66" t="s">
        <v>124</v>
      </c>
      <c r="F9" s="73">
        <f>'7'!K$30</f>
        <v>0.14000000000000001</v>
      </c>
      <c r="G9" s="74">
        <f>'7'!K$29</f>
        <v>0.34</v>
      </c>
      <c r="H9" s="74">
        <f>'7'!K$27</f>
        <v>0.59</v>
      </c>
      <c r="I9" s="115" t="str">
        <f>"pounds of TN reduced
per "&amp;'BMP info'!E8&amp;"
per year"</f>
        <v>pounds of TN reduced
per acre
per year</v>
      </c>
      <c r="J9" s="83"/>
      <c r="K9" s="103">
        <f>'7'!D$34</f>
        <v>45</v>
      </c>
      <c r="L9" s="115" t="str">
        <f>"per "&amp;'BMP info'!E8&amp;"
per year"</f>
        <v>per acre
per year</v>
      </c>
      <c r="M9" s="83"/>
      <c r="N9" s="62">
        <f t="shared" si="0"/>
        <v>3.1111111111111112</v>
      </c>
      <c r="O9" s="63">
        <f t="shared" si="1"/>
        <v>7.5555555555555554</v>
      </c>
      <c r="P9" s="63">
        <f t="shared" si="2"/>
        <v>13.111111111111111</v>
      </c>
      <c r="Q9" s="115" t="s">
        <v>137</v>
      </c>
      <c r="R9" s="83"/>
      <c r="S9" s="108">
        <f t="shared" si="3"/>
        <v>76.271186440677965</v>
      </c>
      <c r="T9" s="109">
        <f t="shared" si="4"/>
        <v>132.35294117647058</v>
      </c>
      <c r="U9" s="109">
        <f t="shared" si="5"/>
        <v>321.42857142857139</v>
      </c>
      <c r="V9" s="115" t="s">
        <v>190</v>
      </c>
    </row>
    <row r="10" spans="1:22" ht="33.75">
      <c r="A10" s="8">
        <v>8</v>
      </c>
      <c r="B10" s="12" t="s">
        <v>60</v>
      </c>
      <c r="C10" s="71" t="s">
        <v>188</v>
      </c>
      <c r="D10" s="66" t="s">
        <v>187</v>
      </c>
      <c r="F10" s="73">
        <f>'8'!K$30</f>
        <v>0.05</v>
      </c>
      <c r="G10" s="74">
        <f>'8'!K$29</f>
        <v>0.47</v>
      </c>
      <c r="H10" s="74">
        <f>'8'!K$27</f>
        <v>1.0900000000000001</v>
      </c>
      <c r="I10" s="115" t="str">
        <f>"pounds of TN reduced
per "&amp;'BMP info'!E9&amp;"
per year"</f>
        <v>pounds of TN reduced
per acre
per year</v>
      </c>
      <c r="J10" s="83"/>
      <c r="K10" s="103">
        <f>'8'!D$34</f>
        <v>23</v>
      </c>
      <c r="L10" s="115" t="str">
        <f>"per "&amp;'BMP info'!E9&amp;"
per year"</f>
        <v>per acre
per year</v>
      </c>
      <c r="M10" s="83"/>
      <c r="N10" s="62">
        <f t="shared" si="0"/>
        <v>2.1739130434782608</v>
      </c>
      <c r="O10" s="63">
        <f t="shared" si="1"/>
        <v>20.434782608695652</v>
      </c>
      <c r="P10" s="63">
        <f t="shared" si="2"/>
        <v>47.391304347826086</v>
      </c>
      <c r="Q10" s="115" t="s">
        <v>137</v>
      </c>
      <c r="R10" s="83"/>
      <c r="S10" s="108">
        <f t="shared" si="3"/>
        <v>21.100917431192659</v>
      </c>
      <c r="T10" s="109">
        <f t="shared" si="4"/>
        <v>48.936170212765958</v>
      </c>
      <c r="U10" s="109">
        <f t="shared" si="5"/>
        <v>460</v>
      </c>
      <c r="V10" s="115" t="s">
        <v>190</v>
      </c>
    </row>
    <row r="11" spans="1:22" ht="33.75">
      <c r="A11" s="8">
        <v>9</v>
      </c>
      <c r="B11" s="12" t="s">
        <v>60</v>
      </c>
      <c r="C11" s="71" t="s">
        <v>80</v>
      </c>
      <c r="D11" s="66" t="s">
        <v>81</v>
      </c>
      <c r="F11" s="73">
        <f>'9'!K$30</f>
        <v>2.25</v>
      </c>
      <c r="G11" s="74">
        <f>'9'!K$29</f>
        <v>3.65</v>
      </c>
      <c r="H11" s="74">
        <f>'9'!K$27</f>
        <v>7.55</v>
      </c>
      <c r="I11" s="115" t="str">
        <f>"pounds of TN reduced
per "&amp;'BMP info'!E10&amp;"
per year"</f>
        <v>pounds of TN reduced
per acre
per year</v>
      </c>
      <c r="J11" s="83"/>
      <c r="K11" s="103">
        <f>'9'!D$34</f>
        <v>50.42</v>
      </c>
      <c r="L11" s="115" t="str">
        <f>"per "&amp;'BMP info'!E10&amp;"
per year"</f>
        <v>per acre
per year</v>
      </c>
      <c r="M11" s="83"/>
      <c r="N11" s="62">
        <f t="shared" si="0"/>
        <v>44.625148750495832</v>
      </c>
      <c r="O11" s="63">
        <f t="shared" si="1"/>
        <v>72.391907973026576</v>
      </c>
      <c r="P11" s="63">
        <f t="shared" si="2"/>
        <v>149.74216580721935</v>
      </c>
      <c r="Q11" s="115" t="s">
        <v>137</v>
      </c>
      <c r="R11" s="83"/>
      <c r="S11" s="108">
        <f t="shared" si="3"/>
        <v>6.6781456953642389</v>
      </c>
      <c r="T11" s="109">
        <f t="shared" si="4"/>
        <v>13.813698630136987</v>
      </c>
      <c r="U11" s="109">
        <f t="shared" si="5"/>
        <v>22.408888888888889</v>
      </c>
      <c r="V11" s="115" t="s">
        <v>190</v>
      </c>
    </row>
    <row r="12" spans="1:22" ht="33.75">
      <c r="A12" s="8">
        <v>10</v>
      </c>
      <c r="B12" s="12" t="s">
        <v>60</v>
      </c>
      <c r="C12" s="71" t="s">
        <v>82</v>
      </c>
      <c r="D12" s="66" t="s">
        <v>83</v>
      </c>
      <c r="F12" s="73">
        <f>'10'!K$30</f>
        <v>0.26235399921250369</v>
      </c>
      <c r="G12" s="74">
        <f>'10'!K$29</f>
        <v>0.40969371605140609</v>
      </c>
      <c r="H12" s="74">
        <f>'10'!K$27</f>
        <v>0.61772762582968577</v>
      </c>
      <c r="I12" s="115" t="str">
        <f>"pounds of TN reduced
per "&amp;'BMP info'!E11&amp;"
per year"</f>
        <v>pounds of TN reduced
per acre
per year</v>
      </c>
      <c r="J12" s="83"/>
      <c r="K12" s="103">
        <f>'10'!D$34</f>
        <v>960</v>
      </c>
      <c r="L12" s="115" t="str">
        <f>"per "&amp;'BMP info'!E11&amp;"
per year"</f>
        <v>per acre
per year</v>
      </c>
      <c r="M12" s="83"/>
      <c r="N12" s="62">
        <f t="shared" si="0"/>
        <v>0.27328541584635802</v>
      </c>
      <c r="O12" s="63">
        <f t="shared" si="1"/>
        <v>0.42676428755354806</v>
      </c>
      <c r="P12" s="63">
        <f t="shared" si="2"/>
        <v>0.64346627690592262</v>
      </c>
      <c r="Q12" s="115" t="s">
        <v>137</v>
      </c>
      <c r="R12" s="83"/>
      <c r="S12" s="108">
        <f t="shared" si="3"/>
        <v>1554.082996871962</v>
      </c>
      <c r="T12" s="109">
        <f t="shared" si="4"/>
        <v>2343.2138751172461</v>
      </c>
      <c r="U12" s="109">
        <f t="shared" si="5"/>
        <v>3659.1780681125092</v>
      </c>
      <c r="V12" s="115" t="s">
        <v>190</v>
      </c>
    </row>
    <row r="13" spans="1:22" ht="33.75">
      <c r="A13" s="8">
        <v>11</v>
      </c>
      <c r="B13" s="12" t="s">
        <v>60</v>
      </c>
      <c r="C13" s="71" t="s">
        <v>86</v>
      </c>
      <c r="D13" s="66" t="s">
        <v>87</v>
      </c>
      <c r="F13" s="73">
        <f>'11'!K$30</f>
        <v>0.35</v>
      </c>
      <c r="G13" s="74">
        <f>'11'!K$29</f>
        <v>0.52</v>
      </c>
      <c r="H13" s="74">
        <f>'11'!K$27</f>
        <v>1.37</v>
      </c>
      <c r="I13" s="115" t="str">
        <f>"pounds of TN reduced
per "&amp;'BMP info'!E12&amp;"
per year"</f>
        <v>pounds of TN reduced
per acre
per year</v>
      </c>
      <c r="J13" s="83"/>
      <c r="K13" s="103">
        <f>'11'!D$34</f>
        <v>13.712</v>
      </c>
      <c r="L13" s="115" t="str">
        <f>"per "&amp;'BMP info'!E12&amp;"
per year"</f>
        <v>per acre
per year</v>
      </c>
      <c r="M13" s="83"/>
      <c r="N13" s="62">
        <f t="shared" si="0"/>
        <v>25.525087514585763</v>
      </c>
      <c r="O13" s="63">
        <f t="shared" si="1"/>
        <v>37.92298716452742</v>
      </c>
      <c r="P13" s="63">
        <f t="shared" si="2"/>
        <v>99.912485414235704</v>
      </c>
      <c r="Q13" s="115" t="s">
        <v>137</v>
      </c>
      <c r="R13" s="83"/>
      <c r="S13" s="108">
        <f t="shared" si="3"/>
        <v>10.008759124087589</v>
      </c>
      <c r="T13" s="109">
        <f t="shared" si="4"/>
        <v>26.369230769230768</v>
      </c>
      <c r="U13" s="109">
        <f t="shared" si="5"/>
        <v>39.177142857142861</v>
      </c>
      <c r="V13" s="115" t="s">
        <v>190</v>
      </c>
    </row>
    <row r="14" spans="1:22" ht="33.75">
      <c r="A14" s="8">
        <v>12</v>
      </c>
      <c r="B14" s="12" t="s">
        <v>60</v>
      </c>
      <c r="C14" s="71" t="s">
        <v>65</v>
      </c>
      <c r="D14" s="66" t="s">
        <v>125</v>
      </c>
      <c r="F14" s="73">
        <f>'12'!K$30</f>
        <v>0</v>
      </c>
      <c r="G14" s="74">
        <f>'12'!K$29</f>
        <v>0</v>
      </c>
      <c r="H14" s="74">
        <f>'12'!K$27</f>
        <v>0</v>
      </c>
      <c r="I14" s="115" t="str">
        <f>"pounds of TN reduced
per "&amp;'BMP info'!E13&amp;"
per year"</f>
        <v>pounds of TN reduced
per acre
per year</v>
      </c>
      <c r="J14" s="83"/>
      <c r="K14" s="103">
        <f>'12'!D$34</f>
        <v>125</v>
      </c>
      <c r="L14" s="115" t="str">
        <f>"per "&amp;'BMP info'!E13&amp;"
per year"</f>
        <v>per acre
per year</v>
      </c>
      <c r="M14" s="83"/>
      <c r="N14" s="62">
        <f t="shared" si="0"/>
        <v>0</v>
      </c>
      <c r="O14" s="63">
        <f t="shared" si="1"/>
        <v>0</v>
      </c>
      <c r="P14" s="63">
        <f t="shared" si="2"/>
        <v>0</v>
      </c>
      <c r="Q14" s="115" t="s">
        <v>137</v>
      </c>
      <c r="R14" s="83"/>
      <c r="S14" s="108" t="str">
        <f t="shared" si="3"/>
        <v>-</v>
      </c>
      <c r="T14" s="109" t="str">
        <f t="shared" si="4"/>
        <v>-</v>
      </c>
      <c r="U14" s="109" t="str">
        <f t="shared" si="5"/>
        <v>-</v>
      </c>
      <c r="V14" s="115" t="s">
        <v>190</v>
      </c>
    </row>
    <row r="15" spans="1:22" ht="33.75">
      <c r="A15" s="8">
        <v>13</v>
      </c>
      <c r="B15" s="12" t="s">
        <v>60</v>
      </c>
      <c r="C15" s="71" t="s">
        <v>88</v>
      </c>
      <c r="D15" s="66" t="s">
        <v>89</v>
      </c>
      <c r="F15" s="73">
        <f>'13'!K$30</f>
        <v>0.56000000000000005</v>
      </c>
      <c r="G15" s="74">
        <f>'13'!K$29</f>
        <v>0.89</v>
      </c>
      <c r="H15" s="74">
        <f>'13'!K$27</f>
        <v>2.1</v>
      </c>
      <c r="I15" s="115" t="str">
        <f>"pounds of TN reduced
per "&amp;'BMP info'!E14&amp;"
per year"</f>
        <v>pounds of TN reduced
per acre
per year</v>
      </c>
      <c r="J15" s="83"/>
      <c r="K15" s="103">
        <f>'13'!D$34</f>
        <v>10</v>
      </c>
      <c r="L15" s="115" t="str">
        <f>"per "&amp;'BMP info'!E14&amp;"
per year"</f>
        <v>per acre
per year</v>
      </c>
      <c r="M15" s="83"/>
      <c r="N15" s="62">
        <f t="shared" si="0"/>
        <v>56</v>
      </c>
      <c r="O15" s="63">
        <f t="shared" si="1"/>
        <v>89</v>
      </c>
      <c r="P15" s="63">
        <f t="shared" si="2"/>
        <v>210</v>
      </c>
      <c r="Q15" s="115" t="s">
        <v>137</v>
      </c>
      <c r="R15" s="83"/>
      <c r="S15" s="108">
        <f t="shared" si="3"/>
        <v>4.7619047619047619</v>
      </c>
      <c r="T15" s="109">
        <f t="shared" si="4"/>
        <v>11.235955056179774</v>
      </c>
      <c r="U15" s="109">
        <f t="shared" si="5"/>
        <v>17.857142857142854</v>
      </c>
      <c r="V15" s="115" t="s">
        <v>190</v>
      </c>
    </row>
    <row r="16" spans="1:22" ht="33.75">
      <c r="A16" s="8">
        <v>14</v>
      </c>
      <c r="B16" s="12" t="s">
        <v>60</v>
      </c>
      <c r="C16" s="71" t="s">
        <v>90</v>
      </c>
      <c r="D16" s="66" t="s">
        <v>91</v>
      </c>
      <c r="F16" s="73">
        <f>'14'!K$30</f>
        <v>10.6</v>
      </c>
      <c r="G16" s="74">
        <f>'14'!K$29</f>
        <v>29.5</v>
      </c>
      <c r="H16" s="74">
        <f>'14'!K$27</f>
        <v>74.87</v>
      </c>
      <c r="I16" s="115" t="str">
        <f>"pounds of TN reduced
per "&amp;'BMP info'!E15&amp;"
per year"</f>
        <v>pounds of TN reduced
per acre
per year</v>
      </c>
      <c r="J16" s="83"/>
      <c r="K16" s="103">
        <f>'14'!D$34</f>
        <v>353</v>
      </c>
      <c r="L16" s="115" t="str">
        <f>"per "&amp;'BMP info'!E15&amp;"
per year"</f>
        <v>per acre
per year</v>
      </c>
      <c r="M16" s="83"/>
      <c r="N16" s="62">
        <f t="shared" si="0"/>
        <v>30.028328611898019</v>
      </c>
      <c r="O16" s="63">
        <f t="shared" si="1"/>
        <v>83.569405099150146</v>
      </c>
      <c r="P16" s="63">
        <f t="shared" si="2"/>
        <v>212.09631728045326</v>
      </c>
      <c r="Q16" s="115" t="s">
        <v>137</v>
      </c>
      <c r="R16" s="83"/>
      <c r="S16" s="108">
        <f t="shared" si="3"/>
        <v>4.7148390543608922</v>
      </c>
      <c r="T16" s="109">
        <f t="shared" si="4"/>
        <v>11.966101694915254</v>
      </c>
      <c r="U16" s="109">
        <f t="shared" si="5"/>
        <v>33.301886792452834</v>
      </c>
      <c r="V16" s="115" t="s">
        <v>190</v>
      </c>
    </row>
    <row r="17" spans="1:22" ht="33.75">
      <c r="A17" s="8">
        <v>15</v>
      </c>
      <c r="B17" s="12" t="s">
        <v>60</v>
      </c>
      <c r="C17" s="71" t="s">
        <v>92</v>
      </c>
      <c r="D17" s="66" t="s">
        <v>93</v>
      </c>
      <c r="F17" s="73">
        <f>'15'!K$30</f>
        <v>13.55</v>
      </c>
      <c r="G17" s="74">
        <f>'15'!K$29</f>
        <v>24.99</v>
      </c>
      <c r="H17" s="74">
        <f>'15'!K$27</f>
        <v>43.86</v>
      </c>
      <c r="I17" s="115" t="str">
        <f>"pounds of TN reduced
per "&amp;'BMP info'!E16&amp;"
per year"</f>
        <v>pounds of TN reduced
per acre
per year</v>
      </c>
      <c r="J17" s="83"/>
      <c r="K17" s="103">
        <f>'15'!D$34</f>
        <v>210.56666666666666</v>
      </c>
      <c r="L17" s="115" t="str">
        <f>"per "&amp;'BMP info'!E16&amp;"
per year"</f>
        <v>per acre
per year</v>
      </c>
      <c r="M17" s="83"/>
      <c r="N17" s="62">
        <f t="shared" si="0"/>
        <v>64.350166218141524</v>
      </c>
      <c r="O17" s="63">
        <f t="shared" si="1"/>
        <v>118.6797530473326</v>
      </c>
      <c r="P17" s="63">
        <f t="shared" si="2"/>
        <v>208.29507677695108</v>
      </c>
      <c r="Q17" s="115" t="s">
        <v>137</v>
      </c>
      <c r="R17" s="83"/>
      <c r="S17" s="108">
        <f t="shared" si="3"/>
        <v>4.8008815929472561</v>
      </c>
      <c r="T17" s="109">
        <f t="shared" si="4"/>
        <v>8.4260370814992669</v>
      </c>
      <c r="U17" s="109">
        <f t="shared" si="5"/>
        <v>15.539975399753997</v>
      </c>
      <c r="V17" s="115" t="s">
        <v>190</v>
      </c>
    </row>
    <row r="18" spans="1:22" ht="33.75">
      <c r="A18" s="8">
        <v>16</v>
      </c>
      <c r="B18" s="12" t="s">
        <v>60</v>
      </c>
      <c r="C18" s="71" t="s">
        <v>96</v>
      </c>
      <c r="D18" s="66" t="s">
        <v>97</v>
      </c>
      <c r="F18" s="73">
        <f>'16'!K$30</f>
        <v>0</v>
      </c>
      <c r="G18" s="74">
        <f>'16'!K$29</f>
        <v>0</v>
      </c>
      <c r="H18" s="74">
        <f>'16'!K$27</f>
        <v>0</v>
      </c>
      <c r="I18" s="115" t="str">
        <f>"pounds of TN reduced
per "&amp;'BMP info'!E17&amp;"
per year"</f>
        <v>pounds of TN reduced
per acre
per year</v>
      </c>
      <c r="J18" s="83"/>
      <c r="K18" s="103">
        <f>'16'!D$34</f>
        <v>600</v>
      </c>
      <c r="L18" s="115" t="str">
        <f>"per "&amp;'BMP info'!E17&amp;"
per year"</f>
        <v>per acre
per year</v>
      </c>
      <c r="M18" s="83"/>
      <c r="N18" s="62">
        <f t="shared" si="0"/>
        <v>0</v>
      </c>
      <c r="O18" s="63">
        <f t="shared" si="1"/>
        <v>0</v>
      </c>
      <c r="P18" s="63">
        <f t="shared" si="2"/>
        <v>0</v>
      </c>
      <c r="Q18" s="115" t="s">
        <v>137</v>
      </c>
      <c r="R18" s="83"/>
      <c r="S18" s="108" t="str">
        <f t="shared" si="3"/>
        <v>-</v>
      </c>
      <c r="T18" s="109" t="str">
        <f t="shared" si="4"/>
        <v>-</v>
      </c>
      <c r="U18" s="109" t="str">
        <f t="shared" si="5"/>
        <v>-</v>
      </c>
      <c r="V18" s="115" t="s">
        <v>190</v>
      </c>
    </row>
    <row r="19" spans="1:22" ht="33.75">
      <c r="A19" s="8">
        <v>17</v>
      </c>
      <c r="B19" s="12" t="s">
        <v>60</v>
      </c>
      <c r="C19" s="71" t="s">
        <v>100</v>
      </c>
      <c r="D19" s="66" t="s">
        <v>101</v>
      </c>
      <c r="F19" s="73">
        <f>'17'!K$30</f>
        <v>1.7</v>
      </c>
      <c r="G19" s="74">
        <f>'17'!K$29</f>
        <v>7.19</v>
      </c>
      <c r="H19" s="74">
        <f>'17'!K$27</f>
        <v>13.48</v>
      </c>
      <c r="I19" s="115" t="str">
        <f>"pounds of TN reduced
per "&amp;'BMP info'!E18&amp;"
per year"</f>
        <v>pounds of TN reduced
per acre
per year</v>
      </c>
      <c r="J19" s="83"/>
      <c r="K19" s="103">
        <f>'17'!D$34</f>
        <v>158.2175</v>
      </c>
      <c r="L19" s="115" t="str">
        <f>"per "&amp;'BMP info'!E18&amp;"
per year"</f>
        <v>per acre
per year</v>
      </c>
      <c r="M19" s="83"/>
      <c r="N19" s="62">
        <f t="shared" si="0"/>
        <v>10.744702703556813</v>
      </c>
      <c r="O19" s="63">
        <f t="shared" si="1"/>
        <v>45.443772022690283</v>
      </c>
      <c r="P19" s="63">
        <f t="shared" si="2"/>
        <v>85.199172025850487</v>
      </c>
      <c r="Q19" s="115" t="s">
        <v>137</v>
      </c>
      <c r="R19" s="83"/>
      <c r="S19" s="108">
        <f t="shared" si="3"/>
        <v>11.737203264094955</v>
      </c>
      <c r="T19" s="109">
        <f t="shared" si="4"/>
        <v>22.00521557719054</v>
      </c>
      <c r="U19" s="109">
        <f t="shared" si="5"/>
        <v>93.069117647058832</v>
      </c>
      <c r="V19" s="115" t="s">
        <v>190</v>
      </c>
    </row>
    <row r="20" spans="1:22" ht="33.75">
      <c r="A20" s="8">
        <v>18</v>
      </c>
      <c r="B20" s="12" t="s">
        <v>60</v>
      </c>
      <c r="C20" s="71" t="s">
        <v>102</v>
      </c>
      <c r="D20" s="66" t="s">
        <v>103</v>
      </c>
      <c r="F20" s="73">
        <f>'18'!K$30</f>
        <v>5.54</v>
      </c>
      <c r="G20" s="74">
        <f>'18'!K$29</f>
        <v>8.33</v>
      </c>
      <c r="H20" s="74">
        <f>'18'!K$27</f>
        <v>12</v>
      </c>
      <c r="I20" s="115" t="str">
        <f>"pounds of TN reduced
per "&amp;'BMP info'!E19&amp;"
per year"</f>
        <v>pounds of TN reduced
per acre
per year</v>
      </c>
      <c r="J20" s="83"/>
      <c r="K20" s="103">
        <f>'18'!D$34</f>
        <v>158.2175</v>
      </c>
      <c r="L20" s="115" t="str">
        <f>"per "&amp;'BMP info'!E19&amp;"
per year"</f>
        <v>per acre
per year</v>
      </c>
      <c r="M20" s="83"/>
      <c r="N20" s="62">
        <f t="shared" si="0"/>
        <v>35.015089986885144</v>
      </c>
      <c r="O20" s="63">
        <f t="shared" si="1"/>
        <v>52.649043247428381</v>
      </c>
      <c r="P20" s="63">
        <f t="shared" si="2"/>
        <v>75.844960260401024</v>
      </c>
      <c r="Q20" s="115" t="s">
        <v>137</v>
      </c>
      <c r="R20" s="83"/>
      <c r="S20" s="108">
        <f t="shared" si="3"/>
        <v>13.184791666666667</v>
      </c>
      <c r="T20" s="109">
        <f t="shared" si="4"/>
        <v>18.993697478991596</v>
      </c>
      <c r="U20" s="109">
        <f t="shared" si="5"/>
        <v>28.559115523465703</v>
      </c>
      <c r="V20" s="115" t="s">
        <v>190</v>
      </c>
    </row>
    <row r="21" spans="1:22" ht="33.75">
      <c r="A21" s="8">
        <v>19</v>
      </c>
      <c r="B21" s="12" t="s">
        <v>60</v>
      </c>
      <c r="C21" s="71" t="s">
        <v>84</v>
      </c>
      <c r="D21" s="66" t="s">
        <v>85</v>
      </c>
      <c r="F21" s="73">
        <f>'19'!K$30</f>
        <v>1.7713308579177616</v>
      </c>
      <c r="G21" s="74">
        <f>'19'!K$29</f>
        <v>2.7790358514643221</v>
      </c>
      <c r="H21" s="74">
        <f>'19'!K$27</f>
        <v>4.0246364448642122</v>
      </c>
      <c r="I21" s="115" t="str">
        <f>"pounds of TN reduced
per "&amp;'BMP info'!E20&amp;"
per year"</f>
        <v>pounds of TN reduced
per acre
per year</v>
      </c>
      <c r="J21" s="83"/>
      <c r="K21" s="103">
        <f>'19'!D$34</f>
        <v>56</v>
      </c>
      <c r="L21" s="115" t="str">
        <f>"per "&amp;'BMP info'!E20&amp;"
per year"</f>
        <v>per acre
per year</v>
      </c>
      <c r="M21" s="83"/>
      <c r="N21" s="62">
        <f t="shared" si="0"/>
        <v>31.630908177102885</v>
      </c>
      <c r="O21" s="63">
        <f t="shared" si="1"/>
        <v>49.625640204720035</v>
      </c>
      <c r="P21" s="63">
        <f t="shared" si="2"/>
        <v>71.868507944003781</v>
      </c>
      <c r="Q21" s="115" t="s">
        <v>137</v>
      </c>
      <c r="R21" s="83"/>
      <c r="S21" s="108">
        <f t="shared" si="3"/>
        <v>13.914300277099784</v>
      </c>
      <c r="T21" s="109">
        <f t="shared" si="4"/>
        <v>20.150873537846817</v>
      </c>
      <c r="U21" s="109">
        <f t="shared" si="5"/>
        <v>31.614647116704798</v>
      </c>
      <c r="V21" s="115" t="s">
        <v>190</v>
      </c>
    </row>
    <row r="22" spans="1:22" ht="33.75">
      <c r="A22" s="8">
        <v>20</v>
      </c>
      <c r="B22" s="12" t="s">
        <v>60</v>
      </c>
      <c r="C22" s="71" t="s">
        <v>104</v>
      </c>
      <c r="D22" s="66" t="s">
        <v>105</v>
      </c>
      <c r="F22" s="73">
        <f>'20'!K$30</f>
        <v>0.78</v>
      </c>
      <c r="G22" s="74">
        <f>'20'!K$29</f>
        <v>25.58</v>
      </c>
      <c r="H22" s="74">
        <f>'20'!K$27</f>
        <v>516.91</v>
      </c>
      <c r="I22" s="115" t="str">
        <f>"pounds of TN reduced
per "&amp;'BMP info'!E21&amp;"
per year"</f>
        <v>pounds of TN reduced
per acre
per year</v>
      </c>
      <c r="J22" s="83"/>
      <c r="K22" s="103">
        <f>'20'!D$34</f>
        <v>1190.0999999999999</v>
      </c>
      <c r="L22" s="115" t="str">
        <f>"per "&amp;'BMP info'!E21&amp;"
per year"</f>
        <v>per acre
per year</v>
      </c>
      <c r="M22" s="83"/>
      <c r="N22" s="62">
        <f t="shared" si="0"/>
        <v>0.65540710864633234</v>
      </c>
      <c r="O22" s="63">
        <f t="shared" si="1"/>
        <v>21.493992101504077</v>
      </c>
      <c r="P22" s="63">
        <f t="shared" si="2"/>
        <v>434.34165196201997</v>
      </c>
      <c r="Q22" s="115" t="s">
        <v>137</v>
      </c>
      <c r="R22" s="83"/>
      <c r="S22" s="108">
        <f t="shared" si="3"/>
        <v>2.302335029308777</v>
      </c>
      <c r="T22" s="109">
        <f t="shared" si="4"/>
        <v>46.524628616106334</v>
      </c>
      <c r="U22" s="109">
        <f t="shared" si="5"/>
        <v>1525.7692307692305</v>
      </c>
      <c r="V22" s="115" t="s">
        <v>190</v>
      </c>
    </row>
    <row r="23" spans="1:22" ht="33.75">
      <c r="A23" s="8">
        <v>21</v>
      </c>
      <c r="B23" s="12" t="s">
        <v>60</v>
      </c>
      <c r="C23" s="71" t="s">
        <v>106</v>
      </c>
      <c r="D23" s="66" t="s">
        <v>107</v>
      </c>
      <c r="F23" s="69">
        <f>'21'!K$30</f>
        <v>0</v>
      </c>
      <c r="G23" s="70">
        <f>'21'!K$29</f>
        <v>0</v>
      </c>
      <c r="H23" s="70">
        <f>'21'!K$27</f>
        <v>0</v>
      </c>
      <c r="I23" s="115" t="str">
        <f>"pounds of TN reduced
per "&amp;'BMP info'!E22&amp;"
per year"</f>
        <v>pounds of TN reduced
per animal unit
per year</v>
      </c>
      <c r="J23" s="83"/>
      <c r="K23" s="104">
        <f>'21'!D$34</f>
        <v>1</v>
      </c>
      <c r="L23" s="115" t="str">
        <f>"per "&amp;'BMP info'!E22&amp;"
per year"</f>
        <v>per animal unit
per year</v>
      </c>
      <c r="M23" s="83"/>
      <c r="N23" s="76">
        <f t="shared" si="0"/>
        <v>0</v>
      </c>
      <c r="O23" s="77">
        <f t="shared" si="1"/>
        <v>0</v>
      </c>
      <c r="P23" s="77">
        <f t="shared" si="2"/>
        <v>0</v>
      </c>
      <c r="Q23" s="115" t="s">
        <v>137</v>
      </c>
      <c r="R23" s="83"/>
      <c r="S23" s="106" t="str">
        <f t="shared" si="3"/>
        <v>-</v>
      </c>
      <c r="T23" s="107" t="str">
        <f t="shared" si="4"/>
        <v>-</v>
      </c>
      <c r="U23" s="107" t="str">
        <f t="shared" si="5"/>
        <v>-</v>
      </c>
      <c r="V23" s="115" t="s">
        <v>190</v>
      </c>
    </row>
    <row r="24" spans="1:22" ht="33.75">
      <c r="A24" s="8">
        <v>22</v>
      </c>
      <c r="B24" s="12" t="s">
        <v>60</v>
      </c>
      <c r="C24" s="71" t="s">
        <v>64</v>
      </c>
      <c r="D24" s="66" t="s">
        <v>108</v>
      </c>
      <c r="F24" s="73">
        <f>'22'!K$30</f>
        <v>2.3999999999999998E-3</v>
      </c>
      <c r="G24" s="74">
        <f>'22'!K$29</f>
        <v>6.7999999999999996E-3</v>
      </c>
      <c r="H24" s="74">
        <f>'22'!K$27</f>
        <v>2.0199999999999999E-2</v>
      </c>
      <c r="I24" s="115" t="str">
        <f>"pounds of TN reduced
per "&amp;'BMP info'!E23&amp;"
per year"</f>
        <v>pounds of TN reduced
per foot
per year</v>
      </c>
      <c r="J24" s="83"/>
      <c r="K24" s="104">
        <f>'22'!D$34</f>
        <v>6.6886666666666663</v>
      </c>
      <c r="L24" s="115" t="str">
        <f>"per "&amp;'BMP info'!E23&amp;"
per year"</f>
        <v>per foot
per year</v>
      </c>
      <c r="M24" s="83"/>
      <c r="N24" s="62">
        <f t="shared" si="0"/>
        <v>0.35881590750523273</v>
      </c>
      <c r="O24" s="63">
        <f t="shared" si="1"/>
        <v>1.0166450712648261</v>
      </c>
      <c r="P24" s="63">
        <f t="shared" si="2"/>
        <v>3.0200338881690421</v>
      </c>
      <c r="Q24" s="115" t="s">
        <v>137</v>
      </c>
      <c r="R24" s="83"/>
      <c r="S24" s="108">
        <f t="shared" si="3"/>
        <v>331.12211221122112</v>
      </c>
      <c r="T24" s="109">
        <f t="shared" si="4"/>
        <v>983.62745098039215</v>
      </c>
      <c r="U24" s="109">
        <f t="shared" si="5"/>
        <v>2786.9444444444443</v>
      </c>
      <c r="V24" s="115" t="s">
        <v>190</v>
      </c>
    </row>
    <row r="25" spans="1:22" ht="33.75">
      <c r="A25" s="8">
        <v>23</v>
      </c>
      <c r="B25" s="12" t="s">
        <v>60</v>
      </c>
      <c r="C25" s="71" t="s">
        <v>109</v>
      </c>
      <c r="D25" s="66" t="s">
        <v>110</v>
      </c>
      <c r="F25" s="73">
        <f>'23'!K$30</f>
        <v>0.09</v>
      </c>
      <c r="G25" s="74">
        <f>'23'!K$29</f>
        <v>0.16</v>
      </c>
      <c r="H25" s="74">
        <f>'23'!K$27</f>
        <v>0.6</v>
      </c>
      <c r="I25" s="115" t="str">
        <f>"pounds of TN reduced
per "&amp;'BMP info'!E24&amp;"
per year"</f>
        <v>pounds of TN reduced
per acre
per year</v>
      </c>
      <c r="J25" s="83"/>
      <c r="K25" s="104">
        <f>'23'!D$34</f>
        <v>7</v>
      </c>
      <c r="L25" s="115" t="str">
        <f>"per "&amp;'BMP info'!E24&amp;"
per year"</f>
        <v>per acre
per year</v>
      </c>
      <c r="M25" s="83"/>
      <c r="N25" s="62">
        <f t="shared" si="0"/>
        <v>12.857142857142858</v>
      </c>
      <c r="O25" s="63">
        <f t="shared" si="1"/>
        <v>22.857142857142858</v>
      </c>
      <c r="P25" s="63">
        <f t="shared" si="2"/>
        <v>85.714285714285708</v>
      </c>
      <c r="Q25" s="115" t="s">
        <v>137</v>
      </c>
      <c r="R25" s="83"/>
      <c r="S25" s="108">
        <f t="shared" si="3"/>
        <v>11.666666666666668</v>
      </c>
      <c r="T25" s="109">
        <f t="shared" si="4"/>
        <v>43.75</v>
      </c>
      <c r="U25" s="109">
        <f t="shared" si="5"/>
        <v>77.777777777777786</v>
      </c>
      <c r="V25" s="115" t="s">
        <v>190</v>
      </c>
    </row>
    <row r="26" spans="1:22" ht="33.75">
      <c r="A26" s="8">
        <v>24</v>
      </c>
      <c r="B26" s="12" t="s">
        <v>60</v>
      </c>
      <c r="C26" s="71" t="s">
        <v>111</v>
      </c>
      <c r="D26" s="66" t="s">
        <v>112</v>
      </c>
      <c r="F26" s="73">
        <f>'24'!K$30</f>
        <v>0.05</v>
      </c>
      <c r="G26" s="74">
        <f>'24'!K$29</f>
        <v>0.21</v>
      </c>
      <c r="H26" s="74">
        <f>'24'!K$27</f>
        <v>0.47</v>
      </c>
      <c r="I26" s="115" t="str">
        <f>"pounds of TN reduced
per "&amp;'BMP info'!E25&amp;"
per year"</f>
        <v>pounds of TN reduced
per acre
per year</v>
      </c>
      <c r="J26" s="83"/>
      <c r="K26" s="104">
        <f>'24'!D$34</f>
        <v>82.667000000000002</v>
      </c>
      <c r="L26" s="115" t="str">
        <f>"per "&amp;'BMP info'!E25&amp;"
per year"</f>
        <v>per acre
per year</v>
      </c>
      <c r="M26" s="83"/>
      <c r="N26" s="62">
        <f t="shared" si="0"/>
        <v>0.60483627082148861</v>
      </c>
      <c r="O26" s="63">
        <f t="shared" si="1"/>
        <v>2.5403123374502523</v>
      </c>
      <c r="P26" s="63">
        <f t="shared" si="2"/>
        <v>5.6854609457219931</v>
      </c>
      <c r="Q26" s="115" t="s">
        <v>137</v>
      </c>
      <c r="R26" s="83"/>
      <c r="S26" s="108">
        <f t="shared" si="3"/>
        <v>175.88723404255322</v>
      </c>
      <c r="T26" s="109">
        <f t="shared" si="4"/>
        <v>393.65238095238095</v>
      </c>
      <c r="U26" s="109">
        <f t="shared" si="5"/>
        <v>1653.34</v>
      </c>
      <c r="V26" s="115" t="s">
        <v>190</v>
      </c>
    </row>
    <row r="27" spans="1:22" ht="33.75">
      <c r="A27" s="8">
        <v>25</v>
      </c>
      <c r="B27" s="12" t="s">
        <v>60</v>
      </c>
      <c r="C27" s="71" t="s">
        <v>126</v>
      </c>
      <c r="D27" s="66" t="s">
        <v>127</v>
      </c>
      <c r="F27" s="73">
        <f>'25'!K$30</f>
        <v>8.0399999999999991</v>
      </c>
      <c r="G27" s="74">
        <f>'25'!K$29</f>
        <v>48.37</v>
      </c>
      <c r="H27" s="74">
        <f>'25'!K$27</f>
        <v>131.54</v>
      </c>
      <c r="I27" s="115" t="str">
        <f>"pounds of TN reduced
per "&amp;'BMP info'!E26&amp;"
per year"</f>
        <v>pounds of TN reduced
per acre
per year</v>
      </c>
      <c r="J27" s="83"/>
      <c r="K27" s="104">
        <f>'25'!D$34</f>
        <v>93.1</v>
      </c>
      <c r="L27" s="115" t="str">
        <f>"per "&amp;'BMP info'!E26&amp;"
per year"</f>
        <v>per acre
per year</v>
      </c>
      <c r="M27" s="83"/>
      <c r="N27" s="62">
        <f t="shared" si="0"/>
        <v>86.358754027926949</v>
      </c>
      <c r="O27" s="63">
        <f t="shared" si="1"/>
        <v>519.54887218045121</v>
      </c>
      <c r="P27" s="63">
        <f t="shared" si="2"/>
        <v>1412.8893662728251</v>
      </c>
      <c r="Q27" s="115" t="s">
        <v>137</v>
      </c>
      <c r="R27" s="83"/>
      <c r="S27" s="108">
        <f t="shared" si="3"/>
        <v>0.70776949977193249</v>
      </c>
      <c r="T27" s="109">
        <f t="shared" si="4"/>
        <v>1.9247467438494934</v>
      </c>
      <c r="U27" s="109">
        <f t="shared" si="5"/>
        <v>11.579601990049751</v>
      </c>
      <c r="V27" s="115" t="s">
        <v>190</v>
      </c>
    </row>
    <row r="28" spans="1:22" ht="33.75">
      <c r="A28" s="8">
        <v>26</v>
      </c>
      <c r="B28" s="12" t="s">
        <v>60</v>
      </c>
      <c r="C28" s="71" t="s">
        <v>113</v>
      </c>
      <c r="D28" s="66" t="s">
        <v>114</v>
      </c>
      <c r="F28" s="73">
        <f>'26'!K$30</f>
        <v>1.5847336316119034</v>
      </c>
      <c r="G28" s="74">
        <f>'26'!K$29</f>
        <v>2.6317557816876187</v>
      </c>
      <c r="H28" s="74">
        <f>'26'!K$27</f>
        <v>4.4273309673992207</v>
      </c>
      <c r="I28" s="115" t="str">
        <f>"pounds of TN reduced
per "&amp;'BMP info'!E27&amp;"
per year"</f>
        <v>pounds of TN reduced
per acre
per year</v>
      </c>
      <c r="J28" s="83"/>
      <c r="K28" s="104">
        <f>'26'!D$34</f>
        <v>23.33</v>
      </c>
      <c r="L28" s="115" t="str">
        <f>"per "&amp;'BMP info'!E27&amp;"
per year"</f>
        <v>per acre
per year</v>
      </c>
      <c r="M28" s="83"/>
      <c r="N28" s="62">
        <f t="shared" si="0"/>
        <v>67.926859477578375</v>
      </c>
      <c r="O28" s="63">
        <f t="shared" si="1"/>
        <v>112.80564859355418</v>
      </c>
      <c r="P28" s="63">
        <f t="shared" si="2"/>
        <v>189.76986572649898</v>
      </c>
      <c r="Q28" s="115" t="s">
        <v>137</v>
      </c>
      <c r="R28" s="83"/>
      <c r="S28" s="108">
        <f t="shared" si="3"/>
        <v>5.2695405362262564</v>
      </c>
      <c r="T28" s="109">
        <f t="shared" si="4"/>
        <v>8.8648043113786148</v>
      </c>
      <c r="U28" s="109">
        <f t="shared" si="5"/>
        <v>14.721716971621289</v>
      </c>
      <c r="V28" s="115" t="s">
        <v>190</v>
      </c>
    </row>
    <row r="29" spans="1:22" ht="33.75">
      <c r="A29" s="8">
        <v>27</v>
      </c>
      <c r="B29" s="12" t="s">
        <v>60</v>
      </c>
      <c r="C29" s="71" t="s">
        <v>117</v>
      </c>
      <c r="D29" s="66" t="s">
        <v>118</v>
      </c>
      <c r="F29" s="69">
        <f>'27'!K$30</f>
        <v>0</v>
      </c>
      <c r="G29" s="70">
        <f>'27'!K$29</f>
        <v>0</v>
      </c>
      <c r="H29" s="70">
        <f>'27'!K$27</f>
        <v>0</v>
      </c>
      <c r="I29" s="115" t="str">
        <f>"pounds of TN reduced
per "&amp;'BMP info'!E28&amp;"
per year"</f>
        <v>pounds of TN reduced
per animal unit
per year</v>
      </c>
      <c r="J29" s="83"/>
      <c r="K29" s="104">
        <f>'27'!D$34</f>
        <v>0.83</v>
      </c>
      <c r="L29" s="115" t="str">
        <f>"per "&amp;'BMP info'!E28&amp;"
per year"</f>
        <v>per animal unit
per year</v>
      </c>
      <c r="M29" s="83"/>
      <c r="N29" s="76">
        <f t="shared" si="0"/>
        <v>0</v>
      </c>
      <c r="O29" s="77">
        <f t="shared" si="1"/>
        <v>0</v>
      </c>
      <c r="P29" s="77">
        <f t="shared" si="2"/>
        <v>0</v>
      </c>
      <c r="Q29" s="115" t="s">
        <v>137</v>
      </c>
      <c r="R29" s="83"/>
      <c r="S29" s="106" t="str">
        <f t="shared" si="3"/>
        <v>-</v>
      </c>
      <c r="T29" s="107" t="str">
        <f t="shared" si="4"/>
        <v>-</v>
      </c>
      <c r="U29" s="107" t="str">
        <f t="shared" si="5"/>
        <v>-</v>
      </c>
      <c r="V29" s="115" t="s">
        <v>190</v>
      </c>
    </row>
    <row r="30" spans="1:22" ht="33.75">
      <c r="A30" s="8">
        <v>28</v>
      </c>
      <c r="B30" s="12" t="s">
        <v>60</v>
      </c>
      <c r="C30" s="71" t="s">
        <v>121</v>
      </c>
      <c r="D30" s="66" t="s">
        <v>122</v>
      </c>
      <c r="F30" s="73">
        <f>'28'!K$30</f>
        <v>0.14000000000000001</v>
      </c>
      <c r="G30" s="74">
        <f>'28'!K$29</f>
        <v>0.45</v>
      </c>
      <c r="H30" s="74">
        <f>'28'!K$27</f>
        <v>0.91</v>
      </c>
      <c r="I30" s="115" t="str">
        <f>"pounds of TN reduced
per "&amp;'BMP info'!E29&amp;"
per year"</f>
        <v>pounds of TN reduced
per acre
per year</v>
      </c>
      <c r="J30" s="83"/>
      <c r="K30" s="103">
        <f>'28'!D$34</f>
        <v>600</v>
      </c>
      <c r="L30" s="115" t="str">
        <f>"per "&amp;'BMP info'!E29&amp;"
per year"</f>
        <v>per acre
per year</v>
      </c>
      <c r="M30" s="83"/>
      <c r="N30" s="62">
        <f t="shared" si="0"/>
        <v>0.23333333333333334</v>
      </c>
      <c r="O30" s="63">
        <f t="shared" si="1"/>
        <v>0.75</v>
      </c>
      <c r="P30" s="63">
        <f t="shared" si="2"/>
        <v>1.5166666666666666</v>
      </c>
      <c r="Q30" s="115" t="s">
        <v>137</v>
      </c>
      <c r="R30" s="83"/>
      <c r="S30" s="108">
        <f t="shared" si="3"/>
        <v>659.34065934065927</v>
      </c>
      <c r="T30" s="109">
        <f t="shared" si="4"/>
        <v>1333.3333333333333</v>
      </c>
      <c r="U30" s="109">
        <f t="shared" si="5"/>
        <v>4285.7142857142853</v>
      </c>
      <c r="V30" s="115" t="s">
        <v>190</v>
      </c>
    </row>
    <row r="31" spans="1:22" ht="33.75">
      <c r="A31" s="8">
        <v>29</v>
      </c>
      <c r="B31" s="12" t="s">
        <v>60</v>
      </c>
      <c r="C31" s="71" t="s">
        <v>142</v>
      </c>
      <c r="D31" s="66" t="s">
        <v>17</v>
      </c>
      <c r="F31" s="73">
        <f>'29'!K$30</f>
        <v>0.02</v>
      </c>
      <c r="G31" s="74">
        <f>'29'!K$29</f>
        <v>0.94</v>
      </c>
      <c r="H31" s="74">
        <f>'29'!K$27</f>
        <v>4.55</v>
      </c>
      <c r="I31" s="115" t="str">
        <f>"pounds of TN reduced
per "&amp;'BMP info'!E30&amp;"
per year"</f>
        <v>pounds of TN reduced
per acre
per year</v>
      </c>
      <c r="J31" s="83"/>
      <c r="K31" s="103">
        <f>'29'!D$34</f>
        <v>163.80000000000001</v>
      </c>
      <c r="L31" s="115" t="str">
        <f>"per "&amp;'BMP info'!E30&amp;"
per year"</f>
        <v>per acre
per year</v>
      </c>
      <c r="M31" s="83"/>
      <c r="N31" s="62">
        <f t="shared" si="0"/>
        <v>0.1221001221001221</v>
      </c>
      <c r="O31" s="63">
        <f t="shared" si="1"/>
        <v>5.7387057387057387</v>
      </c>
      <c r="P31" s="63">
        <f t="shared" si="2"/>
        <v>27.777777777777775</v>
      </c>
      <c r="Q31" s="115" t="s">
        <v>137</v>
      </c>
      <c r="R31" s="83"/>
      <c r="S31" s="108">
        <f t="shared" si="3"/>
        <v>36.000000000000007</v>
      </c>
      <c r="T31" s="109">
        <f t="shared" si="4"/>
        <v>174.2553191489362</v>
      </c>
      <c r="U31" s="109">
        <f t="shared" si="5"/>
        <v>8190</v>
      </c>
      <c r="V31" s="115" t="s">
        <v>190</v>
      </c>
    </row>
    <row r="32" spans="1:22" ht="33.75">
      <c r="A32" s="8">
        <v>30</v>
      </c>
      <c r="B32" s="12" t="s">
        <v>60</v>
      </c>
      <c r="C32" s="71" t="s">
        <v>119</v>
      </c>
      <c r="D32" s="66" t="s">
        <v>120</v>
      </c>
      <c r="F32" s="73">
        <f>'30'!K$30</f>
        <v>0.22</v>
      </c>
      <c r="G32" s="74">
        <f>'30'!K$29</f>
        <v>0.64</v>
      </c>
      <c r="H32" s="74">
        <f>'30'!K$27</f>
        <v>1.04</v>
      </c>
      <c r="I32" s="115" t="str">
        <f>"pounds of TN reduced
per "&amp;'BMP info'!E31&amp;"
per year"</f>
        <v>pounds of TN reduced
per acre
per year</v>
      </c>
      <c r="J32" s="83"/>
      <c r="K32" s="103">
        <f>'30'!D$34</f>
        <v>600</v>
      </c>
      <c r="L32" s="115" t="str">
        <f>"per "&amp;'BMP info'!E31&amp;"
per year"</f>
        <v>per acre
per year</v>
      </c>
      <c r="M32" s="83"/>
      <c r="N32" s="62">
        <f t="shared" si="0"/>
        <v>0.36666666666666664</v>
      </c>
      <c r="O32" s="63">
        <f t="shared" si="1"/>
        <v>1.0666666666666667</v>
      </c>
      <c r="P32" s="63">
        <f t="shared" si="2"/>
        <v>1.7333333333333334</v>
      </c>
      <c r="Q32" s="115" t="s">
        <v>137</v>
      </c>
      <c r="R32" s="83"/>
      <c r="S32" s="108">
        <f t="shared" si="3"/>
        <v>576.92307692307691</v>
      </c>
      <c r="T32" s="109">
        <f t="shared" si="4"/>
        <v>937.5</v>
      </c>
      <c r="U32" s="109">
        <f t="shared" si="5"/>
        <v>2727.2727272727275</v>
      </c>
      <c r="V32" s="115" t="s">
        <v>190</v>
      </c>
    </row>
    <row r="33" spans="1:22" ht="33.75">
      <c r="A33" s="8">
        <v>31</v>
      </c>
      <c r="B33" s="12" t="s">
        <v>60</v>
      </c>
      <c r="C33" s="71" t="s">
        <v>18</v>
      </c>
      <c r="D33" s="66" t="s">
        <v>19</v>
      </c>
      <c r="F33" s="73">
        <f>'31'!K$30</f>
        <v>2.0157981548373627</v>
      </c>
      <c r="G33" s="74">
        <f>'31'!K$29</f>
        <v>3.7215871983008824</v>
      </c>
      <c r="H33" s="74">
        <f>'31'!K$27</f>
        <v>6.4891796229265761</v>
      </c>
      <c r="I33" s="115" t="str">
        <f>"pounds of TN reduced
per "&amp;'BMP info'!E32&amp;"
per year"</f>
        <v>pounds of TN reduced
per acre
per year</v>
      </c>
      <c r="J33" s="83"/>
      <c r="K33" s="103">
        <f>'31'!D$34</f>
        <v>52</v>
      </c>
      <c r="L33" s="115" t="str">
        <f>"per "&amp;'BMP info'!E32&amp;"
per year"</f>
        <v>per acre
per year</v>
      </c>
      <c r="M33" s="83"/>
      <c r="N33" s="62">
        <f t="shared" si="0"/>
        <v>38.765349131487746</v>
      </c>
      <c r="O33" s="63">
        <f t="shared" si="1"/>
        <v>71.568984582709277</v>
      </c>
      <c r="P33" s="63">
        <f t="shared" si="2"/>
        <v>124.79191582551108</v>
      </c>
      <c r="Q33" s="115" t="s">
        <v>137</v>
      </c>
      <c r="R33" s="83"/>
      <c r="S33" s="108">
        <f t="shared" si="3"/>
        <v>8.0133395932332583</v>
      </c>
      <c r="T33" s="109">
        <f t="shared" si="4"/>
        <v>13.972533015951091</v>
      </c>
      <c r="U33" s="109">
        <f t="shared" si="5"/>
        <v>25.796233554046204</v>
      </c>
      <c r="V33" s="115" t="s">
        <v>190</v>
      </c>
    </row>
    <row r="34" spans="1:22" ht="33.75">
      <c r="A34" s="8">
        <v>32</v>
      </c>
      <c r="B34" s="12" t="s">
        <v>60</v>
      </c>
      <c r="C34" s="71" t="s">
        <v>20</v>
      </c>
      <c r="D34" s="66" t="s">
        <v>168</v>
      </c>
      <c r="F34" s="73">
        <f>'32'!K$30</f>
        <v>7.24</v>
      </c>
      <c r="G34" s="74">
        <f>'32'!K$29</f>
        <v>11.11</v>
      </c>
      <c r="H34" s="74">
        <f>'32'!K$27</f>
        <v>31.31</v>
      </c>
      <c r="I34" s="115" t="str">
        <f>"pounds of TN reduced
per "&amp;'BMP info'!E33&amp;"
per year"</f>
        <v>pounds of TN reduced
per acre
per year</v>
      </c>
      <c r="J34" s="83"/>
      <c r="K34" s="103">
        <f>'32'!D$34</f>
        <v>231.42222222222222</v>
      </c>
      <c r="L34" s="115" t="str">
        <f>"per "&amp;'BMP info'!E33&amp;"
per year"</f>
        <v>per acre
per year</v>
      </c>
      <c r="M34" s="83"/>
      <c r="N34" s="62">
        <f t="shared" si="0"/>
        <v>31.284808911081239</v>
      </c>
      <c r="O34" s="63">
        <f t="shared" si="1"/>
        <v>48.007489917418859</v>
      </c>
      <c r="P34" s="63">
        <f t="shared" si="2"/>
        <v>135.29383522181678</v>
      </c>
      <c r="Q34" s="115" t="s">
        <v>137</v>
      </c>
      <c r="R34" s="83"/>
      <c r="S34" s="108">
        <f t="shared" si="3"/>
        <v>7.391319777139004</v>
      </c>
      <c r="T34" s="109">
        <f t="shared" si="4"/>
        <v>20.830083008300832</v>
      </c>
      <c r="U34" s="109">
        <f t="shared" si="5"/>
        <v>31.964395334561079</v>
      </c>
      <c r="V34" s="115" t="s">
        <v>190</v>
      </c>
    </row>
    <row r="35" spans="1:22" ht="33.75">
      <c r="A35" s="8">
        <v>33</v>
      </c>
      <c r="B35" s="14" t="s">
        <v>57</v>
      </c>
      <c r="C35" s="71" t="s">
        <v>58</v>
      </c>
      <c r="D35" s="129" t="s">
        <v>59</v>
      </c>
      <c r="F35" s="73">
        <f>'33'!K$30</f>
        <v>0.50658641629635315</v>
      </c>
      <c r="G35" s="74">
        <f>'33'!K$29</f>
        <v>2.1015681480129431</v>
      </c>
      <c r="H35" s="74">
        <f>'33'!K$27</f>
        <v>3.8487454531032266</v>
      </c>
      <c r="I35" s="115" t="str">
        <f>"pounds of TN reduced
per "&amp;'BMP info'!E35&amp;"
per year"</f>
        <v>pounds of TN reduced
per acre
per year</v>
      </c>
      <c r="J35" s="83"/>
      <c r="K35" s="104">
        <f>'33'!D$34</f>
        <v>20.5</v>
      </c>
      <c r="L35" s="115" t="str">
        <f>"per "&amp;'BMP info'!E35&amp;"
per year"</f>
        <v>per acre
per year</v>
      </c>
      <c r="M35" s="83"/>
      <c r="N35" s="84">
        <f t="shared" si="0"/>
        <v>24.711532502261129</v>
      </c>
      <c r="O35" s="85">
        <f t="shared" si="1"/>
        <v>102.51551941526553</v>
      </c>
      <c r="P35" s="85">
        <f t="shared" si="2"/>
        <v>187.7436806391818</v>
      </c>
      <c r="Q35" s="115" t="s">
        <v>137</v>
      </c>
      <c r="R35" s="83"/>
      <c r="S35" s="110">
        <f t="shared" ref="S35:S47" si="6">IF($K35*H35=0,"-",$K35/H35)</f>
        <v>5.3264109694422475</v>
      </c>
      <c r="T35" s="111">
        <f t="shared" ref="T35:T47" si="7">IF($K35*G35=0,"-",$K35/G35)</f>
        <v>9.7546206243099878</v>
      </c>
      <c r="U35" s="111">
        <f t="shared" ref="U35:U47" si="8">IF($K35*F35=0,"-",$K35/F35)</f>
        <v>40.466935828787591</v>
      </c>
      <c r="V35" s="115" t="s">
        <v>190</v>
      </c>
    </row>
    <row r="36" spans="1:22" ht="33.75">
      <c r="A36" s="8">
        <v>34</v>
      </c>
      <c r="B36" s="13" t="s">
        <v>70</v>
      </c>
      <c r="C36" s="71" t="s">
        <v>47</v>
      </c>
      <c r="D36" s="66" t="s">
        <v>48</v>
      </c>
      <c r="F36" s="73">
        <f>'34'!K$30</f>
        <v>2.96</v>
      </c>
      <c r="G36" s="74">
        <f>'34'!K$29</f>
        <v>7.21</v>
      </c>
      <c r="H36" s="74">
        <f>'34'!K$27</f>
        <v>12.15</v>
      </c>
      <c r="I36" s="115" t="str">
        <f>"pounds of TN reduced
per "&amp;'BMP info'!E36&amp;"
per year"</f>
        <v>pounds of TN reduced
per MGD
per year</v>
      </c>
      <c r="J36" s="83"/>
      <c r="K36" s="104">
        <f>'34'!D$34</f>
        <v>45</v>
      </c>
      <c r="L36" s="115" t="str">
        <f>"per "&amp;'BMP info'!E36&amp;"
per year"</f>
        <v>per MGD
per year</v>
      </c>
      <c r="M36" s="83"/>
      <c r="N36" s="84">
        <f t="shared" ref="N36:P37" si="9">IF($K36=0,"-",1000*F36/$K36)</f>
        <v>65.777777777777771</v>
      </c>
      <c r="O36" s="85">
        <f t="shared" si="9"/>
        <v>160.22222222222223</v>
      </c>
      <c r="P36" s="85">
        <f t="shared" si="9"/>
        <v>270</v>
      </c>
      <c r="Q36" s="115" t="s">
        <v>137</v>
      </c>
      <c r="R36" s="83"/>
      <c r="S36" s="110">
        <f t="shared" si="6"/>
        <v>3.7037037037037037</v>
      </c>
      <c r="T36" s="111">
        <f t="shared" si="7"/>
        <v>6.2413314840499305</v>
      </c>
      <c r="U36" s="111">
        <f t="shared" si="8"/>
        <v>15.202702702702704</v>
      </c>
      <c r="V36" s="115" t="s">
        <v>190</v>
      </c>
    </row>
    <row r="37" spans="1:22" ht="33.75">
      <c r="A37" s="8">
        <v>35</v>
      </c>
      <c r="B37" s="67" t="s">
        <v>61</v>
      </c>
      <c r="C37" s="71" t="s">
        <v>62</v>
      </c>
      <c r="D37" s="66" t="s">
        <v>63</v>
      </c>
      <c r="F37" s="73">
        <f>'35'!K$30</f>
        <v>731</v>
      </c>
      <c r="G37" s="74">
        <f>'35'!K$29</f>
        <v>9198</v>
      </c>
      <c r="H37" s="74">
        <f>'35'!K$27</f>
        <v>44648</v>
      </c>
      <c r="I37" s="115" t="str">
        <f>"pounds of TN reduced
per "&amp;'BMP info'!E34&amp;"
per year"</f>
        <v>pounds of TN reduced
per ton
per year</v>
      </c>
      <c r="J37" s="83"/>
      <c r="K37" s="104">
        <f>'35'!D$34</f>
        <v>395200</v>
      </c>
      <c r="L37" s="115" t="str">
        <f>"per "&amp;'BMP info'!E34&amp;"
per year"</f>
        <v>per ton
per year</v>
      </c>
      <c r="M37" s="83"/>
      <c r="N37" s="84">
        <f t="shared" si="9"/>
        <v>1.8496963562753037</v>
      </c>
      <c r="O37" s="85">
        <f t="shared" si="9"/>
        <v>23.274291497975707</v>
      </c>
      <c r="P37" s="85">
        <f t="shared" si="9"/>
        <v>112.97570850202429</v>
      </c>
      <c r="Q37" s="115" t="s">
        <v>137</v>
      </c>
      <c r="R37" s="83"/>
      <c r="S37" s="110">
        <f t="shared" si="6"/>
        <v>8.8514603117720831</v>
      </c>
      <c r="T37" s="111">
        <f t="shared" si="7"/>
        <v>42.965862143944335</v>
      </c>
      <c r="U37" s="111">
        <f t="shared" si="8"/>
        <v>540.62927496580028</v>
      </c>
      <c r="V37" s="115" t="s">
        <v>190</v>
      </c>
    </row>
    <row r="38" spans="1:22" ht="33.75">
      <c r="A38" s="8" t="s">
        <v>148</v>
      </c>
      <c r="B38" s="15" t="s">
        <v>49</v>
      </c>
      <c r="C38" s="71" t="s">
        <v>141</v>
      </c>
      <c r="D38" s="130" t="s">
        <v>50</v>
      </c>
      <c r="F38" s="73">
        <f>'36a'!K$30</f>
        <v>15.56</v>
      </c>
      <c r="G38" s="74">
        <f>'36a'!K$29</f>
        <v>17.57</v>
      </c>
      <c r="H38" s="74">
        <f>'36a'!K$27</f>
        <v>19.34</v>
      </c>
      <c r="I38" s="115" t="str">
        <f>"pounds of TN reduced
per "&amp;'BMP info'!E37&amp;"
per year"</f>
        <v>pounds of TN reduced
per system
per year</v>
      </c>
      <c r="J38" s="83"/>
      <c r="K38" s="103">
        <f>'36a'!D$34</f>
        <v>750</v>
      </c>
      <c r="L38" s="115" t="str">
        <f>"per "&amp;'BMP info'!E37&amp;"
per year"</f>
        <v>per system
per year</v>
      </c>
      <c r="M38" s="83"/>
      <c r="N38" s="62">
        <f t="shared" ref="N38:N46" si="10">IF($K38=0,"-",1000*F38/$K38)</f>
        <v>20.746666666666666</v>
      </c>
      <c r="O38" s="75">
        <f t="shared" ref="O38:O46" si="11">IF($K38=0,"-",1000*G38/$K38)</f>
        <v>23.426666666666666</v>
      </c>
      <c r="P38" s="75">
        <f t="shared" ref="P38:P46" si="12">IF($K38=0,"-",1000*H38/$K38)</f>
        <v>25.786666666666665</v>
      </c>
      <c r="Q38" s="115" t="s">
        <v>137</v>
      </c>
      <c r="R38" s="83"/>
      <c r="S38" s="108">
        <f t="shared" si="6"/>
        <v>38.779731127197522</v>
      </c>
      <c r="T38" s="112">
        <f t="shared" si="7"/>
        <v>42.686397268070571</v>
      </c>
      <c r="U38" s="112">
        <f t="shared" si="8"/>
        <v>48.200514138817482</v>
      </c>
      <c r="V38" s="115" t="s">
        <v>190</v>
      </c>
    </row>
    <row r="39" spans="1:22" ht="33.75">
      <c r="A39" s="8" t="s">
        <v>149</v>
      </c>
      <c r="B39" s="15" t="s">
        <v>49</v>
      </c>
      <c r="C39" s="71" t="s">
        <v>145</v>
      </c>
      <c r="D39" s="130" t="s">
        <v>50</v>
      </c>
      <c r="F39" s="73">
        <f>'36b'!K$30</f>
        <v>7.16</v>
      </c>
      <c r="G39" s="74">
        <f>'36b'!K$29</f>
        <v>11.03</v>
      </c>
      <c r="H39" s="74">
        <f>'36b'!K$27</f>
        <v>12.09</v>
      </c>
      <c r="I39" s="115" t="str">
        <f>"pounds of TN reduced
per "&amp;'BMP info'!E38&amp;"
per year"</f>
        <v>pounds of TN reduced
per system
per year</v>
      </c>
      <c r="J39" s="83"/>
      <c r="K39" s="103">
        <f>'36b'!D$34</f>
        <v>750</v>
      </c>
      <c r="L39" s="115" t="str">
        <f>"per "&amp;'BMP info'!E38&amp;"
per year"</f>
        <v>per system
per year</v>
      </c>
      <c r="M39" s="83"/>
      <c r="N39" s="62">
        <f t="shared" si="10"/>
        <v>9.5466666666666669</v>
      </c>
      <c r="O39" s="75">
        <f t="shared" si="11"/>
        <v>14.706666666666667</v>
      </c>
      <c r="P39" s="75">
        <f t="shared" si="12"/>
        <v>16.12</v>
      </c>
      <c r="Q39" s="115" t="s">
        <v>137</v>
      </c>
      <c r="R39" s="83"/>
      <c r="S39" s="108">
        <f t="shared" si="6"/>
        <v>62.034739454094293</v>
      </c>
      <c r="T39" s="112">
        <f t="shared" si="7"/>
        <v>67.996373526745245</v>
      </c>
      <c r="U39" s="112">
        <f t="shared" si="8"/>
        <v>104.74860335195531</v>
      </c>
      <c r="V39" s="115" t="s">
        <v>190</v>
      </c>
    </row>
    <row r="40" spans="1:22" ht="33.75">
      <c r="A40" s="8" t="s">
        <v>150</v>
      </c>
      <c r="B40" s="15" t="s">
        <v>49</v>
      </c>
      <c r="C40" s="71" t="s">
        <v>157</v>
      </c>
      <c r="D40" s="130" t="s">
        <v>50</v>
      </c>
      <c r="F40" s="73">
        <f>'36c'!K$30</f>
        <v>4.6500000000000004</v>
      </c>
      <c r="G40" s="74">
        <f>'36c'!K$29</f>
        <v>6.57</v>
      </c>
      <c r="H40" s="74">
        <f>'36c'!K$27</f>
        <v>6.67</v>
      </c>
      <c r="I40" s="115" t="str">
        <f>"pounds of TN reduced
per "&amp;'BMP info'!E39&amp;"
per year"</f>
        <v>pounds of TN reduced
per system
per year</v>
      </c>
      <c r="J40" s="83"/>
      <c r="K40" s="103">
        <f>'36c'!D$34</f>
        <v>750</v>
      </c>
      <c r="L40" s="115" t="str">
        <f>"per "&amp;'BMP info'!E39&amp;"
per year"</f>
        <v>per system
per year</v>
      </c>
      <c r="M40" s="83"/>
      <c r="N40" s="62">
        <f t="shared" si="10"/>
        <v>6.2</v>
      </c>
      <c r="O40" s="75">
        <f t="shared" si="11"/>
        <v>8.76</v>
      </c>
      <c r="P40" s="75">
        <f t="shared" si="12"/>
        <v>8.8933333333333326</v>
      </c>
      <c r="Q40" s="115" t="s">
        <v>137</v>
      </c>
      <c r="R40" s="83"/>
      <c r="S40" s="108">
        <f t="shared" si="6"/>
        <v>112.44377811094454</v>
      </c>
      <c r="T40" s="112">
        <f t="shared" si="7"/>
        <v>114.15525114155251</v>
      </c>
      <c r="U40" s="112">
        <f t="shared" si="8"/>
        <v>161.29032258064515</v>
      </c>
      <c r="V40" s="115" t="s">
        <v>190</v>
      </c>
    </row>
    <row r="41" spans="1:22" ht="33.75">
      <c r="A41" s="8" t="s">
        <v>151</v>
      </c>
      <c r="B41" s="15" t="s">
        <v>49</v>
      </c>
      <c r="C41" s="71" t="s">
        <v>143</v>
      </c>
      <c r="D41" s="130" t="s">
        <v>51</v>
      </c>
      <c r="F41" s="73">
        <f>'37a'!K$30</f>
        <v>7.7781975175391267</v>
      </c>
      <c r="G41" s="74">
        <f>'37a'!K$29</f>
        <v>8.8159523005962175</v>
      </c>
      <c r="H41" s="74">
        <f>'37a'!K$27</f>
        <v>9.1675000000000004</v>
      </c>
      <c r="I41" s="115" t="str">
        <f>"pounds of TN reduced
per "&amp;'BMP info'!E40&amp;"
per year"</f>
        <v>pounds of TN reduced
per system
per year</v>
      </c>
      <c r="J41" s="83"/>
      <c r="K41" s="103">
        <f>'37a'!D$34</f>
        <v>736.82500000000005</v>
      </c>
      <c r="L41" s="115" t="str">
        <f>"per "&amp;'BMP info'!E40&amp;"
per year"</f>
        <v>per system
per year</v>
      </c>
      <c r="M41" s="83"/>
      <c r="N41" s="62">
        <f t="shared" si="10"/>
        <v>10.556370260969873</v>
      </c>
      <c r="O41" s="75">
        <f t="shared" si="11"/>
        <v>11.964784447590972</v>
      </c>
      <c r="P41" s="75">
        <f t="shared" si="12"/>
        <v>12.441895972585078</v>
      </c>
      <c r="Q41" s="115" t="s">
        <v>137</v>
      </c>
      <c r="R41" s="83"/>
      <c r="S41" s="108">
        <f t="shared" si="6"/>
        <v>80.373602399781845</v>
      </c>
      <c r="T41" s="112">
        <f t="shared" si="7"/>
        <v>83.578605563708535</v>
      </c>
      <c r="U41" s="112">
        <f t="shared" si="8"/>
        <v>94.729530632068261</v>
      </c>
      <c r="V41" s="115" t="s">
        <v>190</v>
      </c>
    </row>
    <row r="42" spans="1:22" ht="33.75">
      <c r="A42" s="8" t="s">
        <v>152</v>
      </c>
      <c r="B42" s="15" t="s">
        <v>49</v>
      </c>
      <c r="C42" s="71" t="s">
        <v>146</v>
      </c>
      <c r="D42" s="130" t="s">
        <v>51</v>
      </c>
      <c r="F42" s="73">
        <f>'37b'!K$30</f>
        <v>2.61</v>
      </c>
      <c r="G42" s="74">
        <f>'37b'!K$29</f>
        <v>4.96</v>
      </c>
      <c r="H42" s="74">
        <f>'37b'!K$27</f>
        <v>5.69</v>
      </c>
      <c r="I42" s="115" t="str">
        <f>"pounds of TN reduced
per "&amp;'BMP info'!E41&amp;"
per year"</f>
        <v>pounds of TN reduced
per system
per year</v>
      </c>
      <c r="J42" s="83"/>
      <c r="K42" s="103">
        <f>'37b'!D$34</f>
        <v>736.82500000000005</v>
      </c>
      <c r="L42" s="115" t="str">
        <f>"per "&amp;'BMP info'!E41&amp;"
per year"</f>
        <v>per system
per year</v>
      </c>
      <c r="M42" s="83"/>
      <c r="N42" s="62">
        <f t="shared" si="10"/>
        <v>3.5422250873680996</v>
      </c>
      <c r="O42" s="75">
        <f t="shared" si="11"/>
        <v>6.7315848403623653</v>
      </c>
      <c r="P42" s="75">
        <f t="shared" si="12"/>
        <v>7.7223221253350518</v>
      </c>
      <c r="Q42" s="115" t="s">
        <v>137</v>
      </c>
      <c r="R42" s="83"/>
      <c r="S42" s="108">
        <f t="shared" si="6"/>
        <v>129.49472759226714</v>
      </c>
      <c r="T42" s="112">
        <f t="shared" si="7"/>
        <v>148.55342741935485</v>
      </c>
      <c r="U42" s="112">
        <f t="shared" si="8"/>
        <v>282.30842911877397</v>
      </c>
      <c r="V42" s="115" t="s">
        <v>190</v>
      </c>
    </row>
    <row r="43" spans="1:22" ht="33.75">
      <c r="A43" s="8" t="s">
        <v>153</v>
      </c>
      <c r="B43" s="15" t="s">
        <v>49</v>
      </c>
      <c r="C43" s="71" t="s">
        <v>158</v>
      </c>
      <c r="D43" s="130" t="s">
        <v>51</v>
      </c>
      <c r="F43" s="73">
        <f>'37c'!K$30</f>
        <v>1.91</v>
      </c>
      <c r="G43" s="74">
        <f>'37c'!K$29</f>
        <v>3.23</v>
      </c>
      <c r="H43" s="74">
        <f>'37c'!K$27</f>
        <v>3.53</v>
      </c>
      <c r="I43" s="115" t="str">
        <f>"pounds of TN reduced
per "&amp;'BMP info'!E42&amp;"
per year"</f>
        <v>pounds of TN reduced
per system
per year</v>
      </c>
      <c r="J43" s="83"/>
      <c r="K43" s="103">
        <f>'37c'!D$34</f>
        <v>736.82500000000005</v>
      </c>
      <c r="L43" s="115" t="str">
        <f>"per "&amp;'BMP info'!E42&amp;"
per year"</f>
        <v>per system
per year</v>
      </c>
      <c r="M43" s="83"/>
      <c r="N43" s="62">
        <f t="shared" si="10"/>
        <v>2.5922030332847013</v>
      </c>
      <c r="O43" s="75">
        <f t="shared" si="11"/>
        <v>4.3836731924133954</v>
      </c>
      <c r="P43" s="75">
        <f t="shared" si="12"/>
        <v>4.7908255013062799</v>
      </c>
      <c r="Q43" s="115" t="s">
        <v>137</v>
      </c>
      <c r="R43" s="83"/>
      <c r="S43" s="108">
        <f t="shared" si="6"/>
        <v>208.73229461756375</v>
      </c>
      <c r="T43" s="112">
        <f t="shared" si="7"/>
        <v>228.11919504643964</v>
      </c>
      <c r="U43" s="112">
        <f t="shared" si="8"/>
        <v>385.77225130890054</v>
      </c>
      <c r="V43" s="115" t="s">
        <v>190</v>
      </c>
    </row>
    <row r="44" spans="1:22" ht="33.75">
      <c r="A44" s="8" t="s">
        <v>154</v>
      </c>
      <c r="B44" s="15" t="s">
        <v>49</v>
      </c>
      <c r="C44" s="71" t="s">
        <v>144</v>
      </c>
      <c r="D44" s="130" t="s">
        <v>52</v>
      </c>
      <c r="F44" s="73">
        <f>'38a'!K$30</f>
        <v>0.78</v>
      </c>
      <c r="G44" s="74">
        <f>'38a'!K$29</f>
        <v>0.79</v>
      </c>
      <c r="H44" s="74">
        <f>'38a'!K$27</f>
        <v>0.89</v>
      </c>
      <c r="I44" s="115" t="str">
        <f>"pounds of TN reduced
per "&amp;'BMP info'!E43&amp;"
per year"</f>
        <v>pounds of TN reduced
per system
per year</v>
      </c>
      <c r="J44" s="83"/>
      <c r="K44" s="103">
        <f>'38a'!D$34</f>
        <v>193</v>
      </c>
      <c r="L44" s="115" t="str">
        <f>"per "&amp;'BMP info'!E43&amp;"
per year"</f>
        <v>per system
per year</v>
      </c>
      <c r="M44" s="83"/>
      <c r="N44" s="62">
        <f t="shared" si="10"/>
        <v>4.0414507772020727</v>
      </c>
      <c r="O44" s="75">
        <f t="shared" si="11"/>
        <v>4.0932642487046635</v>
      </c>
      <c r="P44" s="75">
        <f t="shared" si="12"/>
        <v>4.6113989637305703</v>
      </c>
      <c r="Q44" s="115" t="s">
        <v>137</v>
      </c>
      <c r="R44" s="83"/>
      <c r="S44" s="108">
        <f t="shared" si="6"/>
        <v>216.85393258426967</v>
      </c>
      <c r="T44" s="112">
        <f t="shared" si="7"/>
        <v>244.30379746835442</v>
      </c>
      <c r="U44" s="112">
        <f t="shared" si="8"/>
        <v>247.43589743589743</v>
      </c>
      <c r="V44" s="115" t="s">
        <v>190</v>
      </c>
    </row>
    <row r="45" spans="1:22" ht="33.75">
      <c r="A45" s="8" t="s">
        <v>155</v>
      </c>
      <c r="B45" s="15" t="s">
        <v>49</v>
      </c>
      <c r="C45" s="71" t="s">
        <v>147</v>
      </c>
      <c r="D45" s="130" t="s">
        <v>52</v>
      </c>
      <c r="F45" s="73">
        <f>'38b'!K$30</f>
        <v>0.38</v>
      </c>
      <c r="G45" s="74">
        <f>'38b'!K$29</f>
        <v>0.5</v>
      </c>
      <c r="H45" s="74">
        <f>'38b'!K$27</f>
        <v>0.56000000000000005</v>
      </c>
      <c r="I45" s="115" t="str">
        <f>"pounds of TN reduced
per "&amp;'BMP info'!E44&amp;"
per year"</f>
        <v>pounds of TN reduced
per system
per year</v>
      </c>
      <c r="J45" s="83"/>
      <c r="K45" s="103">
        <f>'38b'!D$34</f>
        <v>193</v>
      </c>
      <c r="L45" s="115" t="str">
        <f>"per "&amp;'BMP info'!E44&amp;"
per year"</f>
        <v>per system
per year</v>
      </c>
      <c r="M45" s="83"/>
      <c r="N45" s="62">
        <f t="shared" si="10"/>
        <v>1.9689119170984455</v>
      </c>
      <c r="O45" s="75">
        <f t="shared" si="11"/>
        <v>2.5906735751295336</v>
      </c>
      <c r="P45" s="75">
        <f t="shared" si="12"/>
        <v>2.9015544041450778</v>
      </c>
      <c r="Q45" s="115" t="s">
        <v>137</v>
      </c>
      <c r="R45" s="83"/>
      <c r="S45" s="108">
        <f t="shared" si="6"/>
        <v>344.64285714285711</v>
      </c>
      <c r="T45" s="112">
        <f t="shared" si="7"/>
        <v>386</v>
      </c>
      <c r="U45" s="112">
        <f t="shared" si="8"/>
        <v>507.89473684210526</v>
      </c>
      <c r="V45" s="115" t="s">
        <v>190</v>
      </c>
    </row>
    <row r="46" spans="1:22" ht="33.75">
      <c r="A46" s="8" t="s">
        <v>156</v>
      </c>
      <c r="B46" s="15" t="s">
        <v>49</v>
      </c>
      <c r="C46" s="71" t="s">
        <v>159</v>
      </c>
      <c r="D46" s="130" t="s">
        <v>52</v>
      </c>
      <c r="F46" s="73">
        <f>'38c'!K$30</f>
        <v>0.23</v>
      </c>
      <c r="G46" s="74">
        <f>'38c'!K$29</f>
        <v>0.3</v>
      </c>
      <c r="H46" s="74">
        <f>'38c'!K$27</f>
        <v>0.33</v>
      </c>
      <c r="I46" s="115" t="str">
        <f>"pounds of TN reduced
per "&amp;'BMP info'!E45&amp;"
per year"</f>
        <v>pounds of TN reduced
per system
per year</v>
      </c>
      <c r="J46" s="83"/>
      <c r="K46" s="103">
        <f>'38c'!D$34</f>
        <v>193</v>
      </c>
      <c r="L46" s="115" t="str">
        <f>"per "&amp;'BMP info'!E45&amp;"
per year"</f>
        <v>per system
per year</v>
      </c>
      <c r="M46" s="83"/>
      <c r="N46" s="62">
        <f t="shared" si="10"/>
        <v>1.1917098445595855</v>
      </c>
      <c r="O46" s="75">
        <f t="shared" si="11"/>
        <v>1.5544041450777202</v>
      </c>
      <c r="P46" s="75">
        <f t="shared" si="12"/>
        <v>1.7098445595854923</v>
      </c>
      <c r="Q46" s="115" t="s">
        <v>137</v>
      </c>
      <c r="R46" s="83"/>
      <c r="S46" s="108">
        <f t="shared" si="6"/>
        <v>584.84848484848487</v>
      </c>
      <c r="T46" s="112">
        <f t="shared" si="7"/>
        <v>643.33333333333337</v>
      </c>
      <c r="U46" s="112">
        <f t="shared" si="8"/>
        <v>839.13043478260863</v>
      </c>
      <c r="V46" s="115" t="s">
        <v>190</v>
      </c>
    </row>
    <row r="47" spans="1:22" ht="33.75" customHeight="1">
      <c r="A47" s="8">
        <v>39</v>
      </c>
      <c r="B47" s="16" t="s">
        <v>69</v>
      </c>
      <c r="C47" s="71" t="s">
        <v>21</v>
      </c>
      <c r="D47" s="66" t="s">
        <v>22</v>
      </c>
      <c r="F47" s="73">
        <f>'39'!K$30</f>
        <v>2.1117488235747892</v>
      </c>
      <c r="G47" s="74">
        <f>'39'!K$29</f>
        <v>2.1117488235747892</v>
      </c>
      <c r="H47" s="74">
        <f>'39'!K$27</f>
        <v>5.4260246278257593</v>
      </c>
      <c r="I47" s="115" t="str">
        <f>"pounds of TN reduced
per "&amp;'BMP info'!E46&amp;"
per year"</f>
        <v>pounds of TN reduced
per acre
per year</v>
      </c>
      <c r="J47" s="83"/>
      <c r="K47" s="102">
        <f>'39'!D$34</f>
        <v>0</v>
      </c>
      <c r="L47" s="115" t="str">
        <f>"per "&amp;'BMP info'!E46&amp;"
per year"</f>
        <v>per acre
per year</v>
      </c>
      <c r="M47" s="83"/>
      <c r="N47" s="76" t="str">
        <f>IF($K47=0,"-",1000*F47/$K47)</f>
        <v>-</v>
      </c>
      <c r="O47" s="77" t="str">
        <f>IF($K47=0,"-",1000*G47/$K47)</f>
        <v>-</v>
      </c>
      <c r="P47" s="77" t="str">
        <f>IF($K47=0,"-",1000*H47/$K47)</f>
        <v>-</v>
      </c>
      <c r="Q47" s="115" t="s">
        <v>137</v>
      </c>
      <c r="R47" s="83"/>
      <c r="S47" s="106" t="str">
        <f t="shared" si="6"/>
        <v>-</v>
      </c>
      <c r="T47" s="107" t="str">
        <f t="shared" si="7"/>
        <v>-</v>
      </c>
      <c r="U47" s="107" t="str">
        <f t="shared" si="8"/>
        <v>-</v>
      </c>
      <c r="V47" s="115" t="s">
        <v>190</v>
      </c>
    </row>
    <row r="48" spans="1:22" ht="33.75" customHeight="1">
      <c r="A48" s="8">
        <v>40</v>
      </c>
      <c r="B48" s="16" t="s">
        <v>69</v>
      </c>
      <c r="C48" s="71" t="s">
        <v>290</v>
      </c>
      <c r="D48" s="66" t="s">
        <v>139</v>
      </c>
      <c r="F48" s="73">
        <f>'40'!K$30</f>
        <v>2.6729827720000001</v>
      </c>
      <c r="G48" s="74">
        <f>'40'!K$29</f>
        <v>4.1604913610000001</v>
      </c>
      <c r="H48" s="74">
        <f>'40'!K$27</f>
        <v>6.7594101289999999</v>
      </c>
      <c r="I48" s="115" t="str">
        <f>"pounds of TN reduced
per "&amp;'BMP info'!E47&amp;"
per year"</f>
        <v>pounds of TN reduced
per acre treated
per year</v>
      </c>
      <c r="J48" s="83"/>
      <c r="K48" s="103">
        <f>'40'!D$34</f>
        <v>1038.5999999999999</v>
      </c>
      <c r="L48" s="115" t="str">
        <f>"per "&amp;'BMP info'!E47&amp;"
per year"</f>
        <v>per acre treated
per year</v>
      </c>
      <c r="M48" s="83"/>
      <c r="N48" s="62">
        <f t="shared" ref="N48:N66" si="13">IF($K48=0,"-",1000*F48/$K48)</f>
        <v>2.5736402580396693</v>
      </c>
      <c r="O48" s="63">
        <f t="shared" ref="O48:O66" si="14">IF($K48=0,"-",1000*G48/$K48)</f>
        <v>4.0058649730406319</v>
      </c>
      <c r="P48" s="63">
        <f t="shared" ref="P48:P66" si="15">IF($K48=0,"-",1000*H48/$K48)</f>
        <v>6.5081938465241675</v>
      </c>
      <c r="Q48" s="115" t="s">
        <v>137</v>
      </c>
      <c r="R48" s="83"/>
      <c r="S48" s="108">
        <f t="shared" ref="S48:S66" si="16">IF($K48*H48=0,"-",$K48/H48)</f>
        <v>153.65246081815314</v>
      </c>
      <c r="T48" s="109">
        <f t="shared" ref="T48:T66" si="17">IF($K48*G48=0,"-",$K48/G48)</f>
        <v>249.63397586538093</v>
      </c>
      <c r="U48" s="109">
        <f t="shared" ref="U48:U66" si="18">IF($K48*F48=0,"-",$K48/F48)</f>
        <v>388.55469286204584</v>
      </c>
      <c r="V48" s="115" t="s">
        <v>190</v>
      </c>
    </row>
    <row r="49" spans="1:22" ht="33.75" customHeight="1">
      <c r="A49" s="8">
        <v>41</v>
      </c>
      <c r="B49" s="16" t="s">
        <v>69</v>
      </c>
      <c r="C49" s="71" t="s">
        <v>280</v>
      </c>
      <c r="D49" s="66" t="s">
        <v>23</v>
      </c>
      <c r="F49" s="73">
        <f>'41'!K$30</f>
        <v>2.6820506229999999</v>
      </c>
      <c r="G49" s="74">
        <f>'41'!K$29</f>
        <v>5.9704167479999999</v>
      </c>
      <c r="H49" s="74">
        <f>'41'!K$27</f>
        <v>8.7789539229999995</v>
      </c>
      <c r="I49" s="115" t="str">
        <f>"pounds of TN reduced
per "&amp;'BMP info'!E48&amp;"
per year"</f>
        <v>pounds of TN reduced
per acre treated
per year</v>
      </c>
      <c r="J49" s="83"/>
      <c r="K49" s="103">
        <f>'41'!D$34</f>
        <v>827.45</v>
      </c>
      <c r="L49" s="115" t="str">
        <f>"per "&amp;'BMP info'!E48&amp;"
per year"</f>
        <v>per acre treated
per year</v>
      </c>
      <c r="M49" s="83"/>
      <c r="N49" s="62">
        <f t="shared" si="13"/>
        <v>3.2413446407637916</v>
      </c>
      <c r="O49" s="63">
        <f t="shared" si="14"/>
        <v>7.2154411118496578</v>
      </c>
      <c r="P49" s="63">
        <f t="shared" si="15"/>
        <v>10.609648828327995</v>
      </c>
      <c r="Q49" s="115" t="s">
        <v>137</v>
      </c>
      <c r="R49" s="83"/>
      <c r="S49" s="108">
        <f t="shared" si="16"/>
        <v>94.253826510259046</v>
      </c>
      <c r="T49" s="109">
        <f t="shared" si="17"/>
        <v>138.59166536024196</v>
      </c>
      <c r="U49" s="109">
        <f t="shared" si="18"/>
        <v>308.51393814277014</v>
      </c>
      <c r="V49" s="115" t="s">
        <v>190</v>
      </c>
    </row>
    <row r="50" spans="1:22" ht="33.75" customHeight="1">
      <c r="A50" s="8">
        <v>42</v>
      </c>
      <c r="B50" s="16" t="s">
        <v>69</v>
      </c>
      <c r="C50" s="71" t="s">
        <v>281</v>
      </c>
      <c r="D50" s="66" t="s">
        <v>24</v>
      </c>
      <c r="F50" s="73">
        <f>'42'!K$30</f>
        <v>0.12495795799999999</v>
      </c>
      <c r="G50" s="74">
        <f>'42'!K$29</f>
        <v>0.41064194599999998</v>
      </c>
      <c r="H50" s="74">
        <f>'42'!K$27</f>
        <v>0.61595998600000001</v>
      </c>
      <c r="I50" s="115" t="str">
        <f>"pounds of TN reduced
per "&amp;'BMP info'!E49&amp;"
per year"</f>
        <v>pounds of TN reduced
per acre treated
per year</v>
      </c>
      <c r="J50" s="83"/>
      <c r="K50" s="103">
        <f>'42'!D$34</f>
        <v>1120.8499999999999</v>
      </c>
      <c r="L50" s="115" t="str">
        <f>"per "&amp;'BMP info'!E49&amp;"
per year"</f>
        <v>per acre treated
per year</v>
      </c>
      <c r="M50" s="83"/>
      <c r="N50" s="62">
        <f t="shared" si="13"/>
        <v>0.11148499620823482</v>
      </c>
      <c r="O50" s="63">
        <f t="shared" si="14"/>
        <v>0.3663665486015078</v>
      </c>
      <c r="P50" s="63">
        <f t="shared" si="15"/>
        <v>0.54954720613819885</v>
      </c>
      <c r="Q50" s="115" t="s">
        <v>137</v>
      </c>
      <c r="R50" s="83"/>
      <c r="S50" s="108">
        <f t="shared" si="16"/>
        <v>1819.6798906999129</v>
      </c>
      <c r="T50" s="109">
        <f t="shared" si="17"/>
        <v>2729.5068390310034</v>
      </c>
      <c r="U50" s="109">
        <f t="shared" si="18"/>
        <v>8969.8168723275703</v>
      </c>
      <c r="V50" s="115" t="s">
        <v>190</v>
      </c>
    </row>
    <row r="51" spans="1:22" ht="33.75" customHeight="1">
      <c r="A51" s="8">
        <v>43</v>
      </c>
      <c r="B51" s="16" t="s">
        <v>69</v>
      </c>
      <c r="C51" s="71" t="s">
        <v>26</v>
      </c>
      <c r="D51" s="66" t="s">
        <v>27</v>
      </c>
      <c r="F51" s="73">
        <f>'43'!K$30</f>
        <v>1.7708761829999999</v>
      </c>
      <c r="G51" s="74">
        <f>'43'!K$29</f>
        <v>4.4123043260000001</v>
      </c>
      <c r="H51" s="74">
        <f>'43'!K$27</f>
        <v>9.3321394709999996</v>
      </c>
      <c r="I51" s="115" t="str">
        <f>"pounds of TN reduced
per "&amp;'BMP info'!E50&amp;"
per year"</f>
        <v>pounds of TN reduced
per acre treated
per year</v>
      </c>
      <c r="J51" s="83"/>
      <c r="K51" s="103">
        <f>'43'!D$34</f>
        <v>1305</v>
      </c>
      <c r="L51" s="115" t="str">
        <f>"per "&amp;'BMP info'!E50&amp;"
per year"</f>
        <v>per acre treated
per year</v>
      </c>
      <c r="M51" s="83"/>
      <c r="N51" s="62">
        <f t="shared" si="13"/>
        <v>1.3569932436781609</v>
      </c>
      <c r="O51" s="63">
        <f t="shared" si="14"/>
        <v>3.3810761118773951</v>
      </c>
      <c r="P51" s="63">
        <f t="shared" si="15"/>
        <v>7.1510647287356326</v>
      </c>
      <c r="Q51" s="115" t="s">
        <v>137</v>
      </c>
      <c r="R51" s="83"/>
      <c r="S51" s="108">
        <f t="shared" si="16"/>
        <v>139.83931595271804</v>
      </c>
      <c r="T51" s="109">
        <f t="shared" si="17"/>
        <v>295.76382397518245</v>
      </c>
      <c r="U51" s="109">
        <f t="shared" si="18"/>
        <v>736.9233447982964</v>
      </c>
      <c r="V51" s="115" t="s">
        <v>190</v>
      </c>
    </row>
    <row r="52" spans="1:22" ht="33.75" customHeight="1">
      <c r="A52" s="8">
        <v>44</v>
      </c>
      <c r="B52" s="16" t="s">
        <v>69</v>
      </c>
      <c r="C52" s="71" t="s">
        <v>66</v>
      </c>
      <c r="D52" s="66" t="s">
        <v>28</v>
      </c>
      <c r="F52" s="73">
        <f>'44'!K$30</f>
        <v>0.04</v>
      </c>
      <c r="G52" s="74">
        <f>'44'!K$29</f>
        <v>1.0900000000000001</v>
      </c>
      <c r="H52" s="74">
        <f>'44'!K$27</f>
        <v>4.1100000000000003</v>
      </c>
      <c r="I52" s="115" t="str">
        <f>"pounds of TN reduced
per "&amp;'BMP info'!E51&amp;"
per year"</f>
        <v>pounds of TN reduced
per acre treated
per year</v>
      </c>
      <c r="J52" s="83"/>
      <c r="K52" s="103">
        <f>'44'!D$34</f>
        <v>1305</v>
      </c>
      <c r="L52" s="115" t="str">
        <f>"per "&amp;'BMP info'!E51&amp;"
per year"</f>
        <v>per acre treated
per year</v>
      </c>
      <c r="M52" s="83"/>
      <c r="N52" s="62">
        <f t="shared" si="13"/>
        <v>3.0651340996168581E-2</v>
      </c>
      <c r="O52" s="63">
        <f t="shared" si="14"/>
        <v>0.83524904214559392</v>
      </c>
      <c r="P52" s="63">
        <f t="shared" si="15"/>
        <v>3.1494252873563218</v>
      </c>
      <c r="Q52" s="115" t="s">
        <v>137</v>
      </c>
      <c r="R52" s="83"/>
      <c r="S52" s="108">
        <f t="shared" si="16"/>
        <v>317.51824817518246</v>
      </c>
      <c r="T52" s="109">
        <f t="shared" si="17"/>
        <v>1197.2477064220182</v>
      </c>
      <c r="U52" s="109">
        <f t="shared" si="18"/>
        <v>32625</v>
      </c>
      <c r="V52" s="115" t="s">
        <v>190</v>
      </c>
    </row>
    <row r="53" spans="1:22" ht="33.75" customHeight="1">
      <c r="A53" s="8">
        <v>45</v>
      </c>
      <c r="B53" s="16" t="s">
        <v>69</v>
      </c>
      <c r="C53" s="71" t="s">
        <v>282</v>
      </c>
      <c r="D53" s="66" t="s">
        <v>25</v>
      </c>
      <c r="F53" s="73">
        <f>'45'!K$30</f>
        <v>0.49533395400000002</v>
      </c>
      <c r="G53" s="74">
        <f>'45'!K$29</f>
        <v>1.4984060189999999</v>
      </c>
      <c r="H53" s="74">
        <f>'45'!K$27</f>
        <v>2.4681489239999999</v>
      </c>
      <c r="I53" s="115" t="str">
        <f>"pounds of TN reduced
per "&amp;'BMP info'!E52&amp;"
per year"</f>
        <v>pounds of TN reduced
per acre treated
per year</v>
      </c>
      <c r="J53" s="83"/>
      <c r="K53" s="103">
        <f>'45'!D$34</f>
        <v>614.75</v>
      </c>
      <c r="L53" s="115" t="str">
        <f>"per "&amp;'BMP info'!E52&amp;"
per year"</f>
        <v>per acre treated
per year</v>
      </c>
      <c r="M53" s="83"/>
      <c r="N53" s="62">
        <f t="shared" si="13"/>
        <v>0.80574860349735666</v>
      </c>
      <c r="O53" s="63">
        <f t="shared" si="14"/>
        <v>2.4374233737291582</v>
      </c>
      <c r="P53" s="63">
        <f t="shared" si="15"/>
        <v>4.0148823489223266</v>
      </c>
      <c r="Q53" s="115" t="s">
        <v>137</v>
      </c>
      <c r="R53" s="83"/>
      <c r="S53" s="108">
        <f t="shared" si="16"/>
        <v>249.07330105661001</v>
      </c>
      <c r="T53" s="109">
        <f t="shared" si="17"/>
        <v>410.26930765418933</v>
      </c>
      <c r="U53" s="109">
        <f t="shared" si="18"/>
        <v>1241.0818903805653</v>
      </c>
      <c r="V53" s="115" t="s">
        <v>190</v>
      </c>
    </row>
    <row r="54" spans="1:22" ht="33.75" customHeight="1">
      <c r="A54" s="8">
        <v>46</v>
      </c>
      <c r="B54" s="16" t="s">
        <v>69</v>
      </c>
      <c r="C54" s="71" t="s">
        <v>283</v>
      </c>
      <c r="D54" s="66" t="s">
        <v>36</v>
      </c>
      <c r="F54" s="73">
        <f>'46'!K$30</f>
        <v>1.454969644</v>
      </c>
      <c r="G54" s="74">
        <f>'46'!K$29</f>
        <v>2.882968483</v>
      </c>
      <c r="H54" s="74">
        <f>'46'!K$27</f>
        <v>4.569456669</v>
      </c>
      <c r="I54" s="115" t="str">
        <f>"pounds of TN reduced
per "&amp;'BMP info'!E53&amp;"
per year"</f>
        <v>pounds of TN reduced
per acre treated
per year</v>
      </c>
      <c r="J54" s="83"/>
      <c r="K54" s="103">
        <f>'46'!D$34</f>
        <v>1465.35</v>
      </c>
      <c r="L54" s="115" t="str">
        <f>"per "&amp;'BMP info'!E53&amp;"
per year"</f>
        <v>per acre treated
per year</v>
      </c>
      <c r="M54" s="83"/>
      <c r="N54" s="62">
        <f t="shared" si="13"/>
        <v>0.99291612515781225</v>
      </c>
      <c r="O54" s="63">
        <f t="shared" si="14"/>
        <v>1.9674265417818271</v>
      </c>
      <c r="P54" s="63">
        <f t="shared" si="15"/>
        <v>3.1183380550721673</v>
      </c>
      <c r="Q54" s="115" t="s">
        <v>137</v>
      </c>
      <c r="R54" s="83"/>
      <c r="S54" s="108">
        <f t="shared" si="16"/>
        <v>320.68364056085545</v>
      </c>
      <c r="T54" s="109">
        <f t="shared" si="17"/>
        <v>508.27818917921894</v>
      </c>
      <c r="U54" s="109">
        <f t="shared" si="18"/>
        <v>1007.134414139021</v>
      </c>
      <c r="V54" s="115" t="s">
        <v>190</v>
      </c>
    </row>
    <row r="55" spans="1:22" ht="33.75" customHeight="1">
      <c r="A55" s="8">
        <v>47</v>
      </c>
      <c r="B55" s="16" t="s">
        <v>69</v>
      </c>
      <c r="C55" s="71" t="s">
        <v>37</v>
      </c>
      <c r="D55" s="66" t="s">
        <v>38</v>
      </c>
      <c r="F55" s="73">
        <f>'47'!K$30</f>
        <v>2.9004891009999998</v>
      </c>
      <c r="G55" s="74">
        <f>'47'!K$29</f>
        <v>5.7000379179999996</v>
      </c>
      <c r="H55" s="74">
        <f>'47'!K$27</f>
        <v>9.8451933240000002</v>
      </c>
      <c r="I55" s="115" t="str">
        <f>"pounds of TN reduced
per "&amp;'BMP info'!E54&amp;"
per year"</f>
        <v>pounds of TN reduced
per acre
per year</v>
      </c>
      <c r="J55" s="83"/>
      <c r="K55" s="104">
        <f>'47'!D$34</f>
        <v>531.375</v>
      </c>
      <c r="L55" s="115" t="str">
        <f>"per "&amp;'BMP info'!E54&amp;"
per year"</f>
        <v>per acre
per year</v>
      </c>
      <c r="M55" s="83"/>
      <c r="N55" s="62">
        <f t="shared" si="13"/>
        <v>5.458459846624323</v>
      </c>
      <c r="O55" s="63">
        <f t="shared" si="14"/>
        <v>10.726959149376617</v>
      </c>
      <c r="P55" s="63">
        <f t="shared" si="15"/>
        <v>18.527769134791814</v>
      </c>
      <c r="Q55" s="115" t="s">
        <v>137</v>
      </c>
      <c r="R55" s="83"/>
      <c r="S55" s="108">
        <f t="shared" si="16"/>
        <v>53.973038671028128</v>
      </c>
      <c r="T55" s="109">
        <f t="shared" si="17"/>
        <v>93.223064064536288</v>
      </c>
      <c r="U55" s="109">
        <f t="shared" si="18"/>
        <v>183.20186061612787</v>
      </c>
      <c r="V55" s="115" t="s">
        <v>190</v>
      </c>
    </row>
    <row r="56" spans="1:22" ht="33.75" customHeight="1">
      <c r="A56" s="8">
        <v>48</v>
      </c>
      <c r="B56" s="16" t="s">
        <v>69</v>
      </c>
      <c r="C56" s="71" t="s">
        <v>29</v>
      </c>
      <c r="D56" s="66" t="s">
        <v>30</v>
      </c>
      <c r="F56" s="73">
        <f>'48'!K$30</f>
        <v>1.9360965990000001</v>
      </c>
      <c r="G56" s="74">
        <f>'48'!K$29</f>
        <v>3.87560744</v>
      </c>
      <c r="H56" s="74">
        <f>'48'!K$27</f>
        <v>7.1287412659999996</v>
      </c>
      <c r="I56" s="115" t="str">
        <f>"pounds of TN reduced
per "&amp;'BMP info'!E55&amp;"
per year"</f>
        <v>pounds of TN reduced
per acre
per year</v>
      </c>
      <c r="J56" s="83"/>
      <c r="K56" s="104">
        <f>'48'!D$34</f>
        <v>0</v>
      </c>
      <c r="L56" s="115" t="str">
        <f>"per "&amp;'BMP info'!E55&amp;"
per year"</f>
        <v>per acre
per year</v>
      </c>
      <c r="M56" s="83"/>
      <c r="N56" s="62" t="str">
        <f t="shared" si="13"/>
        <v>-</v>
      </c>
      <c r="O56" s="63" t="str">
        <f t="shared" si="14"/>
        <v>-</v>
      </c>
      <c r="P56" s="63" t="str">
        <f t="shared" si="15"/>
        <v>-</v>
      </c>
      <c r="Q56" s="115" t="s">
        <v>137</v>
      </c>
      <c r="R56" s="83"/>
      <c r="S56" s="108" t="str">
        <f t="shared" si="16"/>
        <v>-</v>
      </c>
      <c r="T56" s="109" t="str">
        <f t="shared" si="17"/>
        <v>-</v>
      </c>
      <c r="U56" s="109" t="str">
        <f t="shared" si="18"/>
        <v>-</v>
      </c>
      <c r="V56" s="115" t="s">
        <v>190</v>
      </c>
    </row>
    <row r="57" spans="1:22" ht="33.75" customHeight="1">
      <c r="A57" s="8">
        <v>49</v>
      </c>
      <c r="B57" s="16" t="s">
        <v>69</v>
      </c>
      <c r="C57" s="71" t="s">
        <v>31</v>
      </c>
      <c r="D57" s="66" t="s">
        <v>32</v>
      </c>
      <c r="F57" s="73">
        <f>'49'!K$30</f>
        <v>1.473041354</v>
      </c>
      <c r="G57" s="74">
        <f>'49'!K$29</f>
        <v>3.383818121</v>
      </c>
      <c r="H57" s="74">
        <f>'49'!K$27</f>
        <v>5.9579513009999996</v>
      </c>
      <c r="I57" s="115" t="str">
        <f>"pounds of TN reduced
per "&amp;'BMP info'!E56&amp;"
per year"</f>
        <v>pounds of TN reduced
per acre
per year</v>
      </c>
      <c r="J57" s="83"/>
      <c r="K57" s="104">
        <f>'49'!D$34</f>
        <v>8684.6</v>
      </c>
      <c r="L57" s="115" t="str">
        <f>"per "&amp;'BMP info'!E56&amp;"
per year"</f>
        <v>per acre
per year</v>
      </c>
      <c r="M57" s="83"/>
      <c r="N57" s="62">
        <f t="shared" si="13"/>
        <v>0.16961533680307669</v>
      </c>
      <c r="O57" s="63">
        <f t="shared" si="14"/>
        <v>0.3896343091218939</v>
      </c>
      <c r="P57" s="63">
        <f t="shared" si="15"/>
        <v>0.68603635181816081</v>
      </c>
      <c r="Q57" s="115" t="s">
        <v>137</v>
      </c>
      <c r="R57" s="83"/>
      <c r="S57" s="108">
        <f t="shared" si="16"/>
        <v>1457.6487052759817</v>
      </c>
      <c r="T57" s="109">
        <f t="shared" si="17"/>
        <v>2566.5090999138843</v>
      </c>
      <c r="U57" s="109">
        <f t="shared" si="18"/>
        <v>5895.6932718943881</v>
      </c>
      <c r="V57" s="115" t="s">
        <v>190</v>
      </c>
    </row>
    <row r="58" spans="1:22" ht="33.75" customHeight="1">
      <c r="A58" s="8">
        <v>50</v>
      </c>
      <c r="B58" s="16" t="s">
        <v>69</v>
      </c>
      <c r="C58" s="71" t="s">
        <v>284</v>
      </c>
      <c r="D58" s="66" t="s">
        <v>39</v>
      </c>
      <c r="F58" s="73">
        <f>'50'!K$30</f>
        <v>2.9184292209999998</v>
      </c>
      <c r="G58" s="74">
        <f>'50'!K$29</f>
        <v>5.6806282719999999</v>
      </c>
      <c r="H58" s="74">
        <f>'50'!K$27</f>
        <v>7.4961840630000003</v>
      </c>
      <c r="I58" s="115" t="str">
        <f>"pounds of TN reduced
per "&amp;'BMP info'!E57&amp;"
per year"</f>
        <v>pounds of TN reduced
per acre treated
per year</v>
      </c>
      <c r="J58" s="83"/>
      <c r="K58" s="103">
        <f>'50'!D$34</f>
        <v>1114.9000000000001</v>
      </c>
      <c r="L58" s="115" t="str">
        <f>"per "&amp;'BMP info'!E57&amp;"
per year"</f>
        <v>per acre treated
per year</v>
      </c>
      <c r="M58" s="83"/>
      <c r="N58" s="62">
        <f t="shared" si="13"/>
        <v>2.6176600780339041</v>
      </c>
      <c r="O58" s="63">
        <f t="shared" si="14"/>
        <v>5.0951908440218849</v>
      </c>
      <c r="P58" s="63">
        <f t="shared" si="15"/>
        <v>6.7236380509462732</v>
      </c>
      <c r="Q58" s="115" t="s">
        <v>137</v>
      </c>
      <c r="R58" s="83"/>
      <c r="S58" s="108">
        <f t="shared" si="16"/>
        <v>148.7290054019582</v>
      </c>
      <c r="T58" s="109">
        <f t="shared" si="17"/>
        <v>196.2635023128301</v>
      </c>
      <c r="U58" s="109">
        <f t="shared" si="18"/>
        <v>382.02057188078032</v>
      </c>
      <c r="V58" s="115" t="s">
        <v>190</v>
      </c>
    </row>
    <row r="59" spans="1:22" ht="33.75" customHeight="1">
      <c r="A59" s="8">
        <v>51</v>
      </c>
      <c r="B59" s="16" t="s">
        <v>69</v>
      </c>
      <c r="C59" s="71" t="s">
        <v>285</v>
      </c>
      <c r="D59" s="66" t="s">
        <v>40</v>
      </c>
      <c r="F59" s="73">
        <f>'51'!K$30</f>
        <v>3.2691005940000002</v>
      </c>
      <c r="G59" s="74">
        <f>'51'!K$29</f>
        <v>7.521064687</v>
      </c>
      <c r="H59" s="74">
        <f>'51'!K$27</f>
        <v>9.2271805269999998</v>
      </c>
      <c r="I59" s="115" t="str">
        <f>"pounds of TN reduced
per "&amp;'BMP info'!E58&amp;"
per year"</f>
        <v>pounds of TN reduced
per acre treated
per year</v>
      </c>
      <c r="J59" s="83"/>
      <c r="K59" s="103">
        <f>'51'!D$34</f>
        <v>1137.4000000000001</v>
      </c>
      <c r="L59" s="115" t="str">
        <f>"per "&amp;'BMP info'!E58&amp;"
per year"</f>
        <v>per acre treated
per year</v>
      </c>
      <c r="M59" s="83"/>
      <c r="N59" s="62">
        <f t="shared" si="13"/>
        <v>2.874187263935291</v>
      </c>
      <c r="O59" s="63">
        <f t="shared" si="14"/>
        <v>6.6125063187972568</v>
      </c>
      <c r="P59" s="63">
        <f t="shared" si="15"/>
        <v>8.1125202452962899</v>
      </c>
      <c r="Q59" s="115" t="s">
        <v>137</v>
      </c>
      <c r="R59" s="83"/>
      <c r="S59" s="108">
        <f t="shared" si="16"/>
        <v>123.26625632519178</v>
      </c>
      <c r="T59" s="109">
        <f t="shared" si="17"/>
        <v>151.22858894778179</v>
      </c>
      <c r="U59" s="109">
        <f t="shared" si="18"/>
        <v>347.92444199714953</v>
      </c>
      <c r="V59" s="115" t="s">
        <v>190</v>
      </c>
    </row>
    <row r="60" spans="1:22" ht="33.75" customHeight="1">
      <c r="A60" s="8">
        <v>52</v>
      </c>
      <c r="B60" s="16" t="s">
        <v>69</v>
      </c>
      <c r="C60" s="71" t="s">
        <v>286</v>
      </c>
      <c r="D60" s="66" t="s">
        <v>138</v>
      </c>
      <c r="F60" s="73">
        <f>'52'!K$30</f>
        <v>3.144146686</v>
      </c>
      <c r="G60" s="74">
        <f>'52'!K$29</f>
        <v>4.3773983989999996</v>
      </c>
      <c r="H60" s="74">
        <f>'52'!K$27</f>
        <v>4.5792966159999997</v>
      </c>
      <c r="I60" s="115" t="str">
        <f>"pounds of TN reduced
per "&amp;'BMP info'!E59&amp;"
per year"</f>
        <v>pounds of TN reduced
per acre treated
per year</v>
      </c>
      <c r="J60" s="83"/>
      <c r="K60" s="104">
        <f>'52'!D$34</f>
        <v>4957.6499999999996</v>
      </c>
      <c r="L60" s="115" t="str">
        <f>"per "&amp;'BMP info'!E59&amp;"
per year"</f>
        <v>per acre treated
per year</v>
      </c>
      <c r="M60" s="83"/>
      <c r="N60" s="62">
        <f t="shared" si="13"/>
        <v>0.63420101983802812</v>
      </c>
      <c r="O60" s="63">
        <f t="shared" si="14"/>
        <v>0.88295833691365866</v>
      </c>
      <c r="P60" s="63">
        <f t="shared" si="15"/>
        <v>0.92368291751132092</v>
      </c>
      <c r="Q60" s="115" t="s">
        <v>137</v>
      </c>
      <c r="R60" s="83"/>
      <c r="S60" s="108">
        <f t="shared" si="16"/>
        <v>1082.6225981252314</v>
      </c>
      <c r="T60" s="109">
        <f t="shared" si="17"/>
        <v>1132.556269297434</v>
      </c>
      <c r="U60" s="109">
        <f t="shared" si="18"/>
        <v>1576.787120675705</v>
      </c>
      <c r="V60" s="115" t="s">
        <v>190</v>
      </c>
    </row>
    <row r="61" spans="1:22" ht="33.75" customHeight="1">
      <c r="A61" s="8">
        <v>53</v>
      </c>
      <c r="B61" s="16" t="s">
        <v>69</v>
      </c>
      <c r="C61" s="71" t="s">
        <v>287</v>
      </c>
      <c r="D61" s="66" t="s">
        <v>33</v>
      </c>
      <c r="F61" s="73">
        <f>'53'!K$30</f>
        <v>0.67244990000000004</v>
      </c>
      <c r="G61" s="74">
        <f>'53'!K$29</f>
        <v>1.7775372380000001</v>
      </c>
      <c r="H61" s="74">
        <f>'53'!K$27</f>
        <v>3.0968023609999999</v>
      </c>
      <c r="I61" s="115" t="str">
        <f>"pounds of TN reduced
per "&amp;'BMP info'!E60&amp;"
per year"</f>
        <v>pounds of TN reduced
per acre treated
per year</v>
      </c>
      <c r="J61" s="83"/>
      <c r="K61" s="103">
        <f>'53'!D$34</f>
        <v>1621.6</v>
      </c>
      <c r="L61" s="115" t="str">
        <f>"per "&amp;'BMP info'!E60&amp;"
per year"</f>
        <v>per acre treated
per year</v>
      </c>
      <c r="M61" s="83"/>
      <c r="N61" s="62">
        <f t="shared" si="13"/>
        <v>0.41468296743956595</v>
      </c>
      <c r="O61" s="63">
        <f t="shared" si="14"/>
        <v>1.0961625789343858</v>
      </c>
      <c r="P61" s="63">
        <f t="shared" si="15"/>
        <v>1.9097202522200296</v>
      </c>
      <c r="Q61" s="115" t="s">
        <v>137</v>
      </c>
      <c r="R61" s="83"/>
      <c r="S61" s="108">
        <f t="shared" si="16"/>
        <v>523.63690380175342</v>
      </c>
      <c r="T61" s="109">
        <f t="shared" si="17"/>
        <v>912.27343390259819</v>
      </c>
      <c r="U61" s="109">
        <f t="shared" si="18"/>
        <v>2411.4807660764018</v>
      </c>
      <c r="V61" s="115" t="s">
        <v>190</v>
      </c>
    </row>
    <row r="62" spans="1:22" ht="33.75" customHeight="1">
      <c r="A62" s="8">
        <v>54</v>
      </c>
      <c r="B62" s="16" t="s">
        <v>69</v>
      </c>
      <c r="C62" s="71" t="s">
        <v>34</v>
      </c>
      <c r="D62" s="66" t="s">
        <v>35</v>
      </c>
      <c r="F62" s="73">
        <f>'54'!K$30</f>
        <v>0.16611909650923856</v>
      </c>
      <c r="G62" s="74">
        <f>'54'!K$29</f>
        <v>0.18084138004890449</v>
      </c>
      <c r="H62" s="74">
        <f>'54'!K$27</f>
        <v>0.23410379790342672</v>
      </c>
      <c r="I62" s="115" t="str">
        <f>"pounds of TN reduced
per "&amp;'BMP info'!E61&amp;"
per year"</f>
        <v>pounds of TN reduced
per acre
per year</v>
      </c>
      <c r="J62" s="83"/>
      <c r="K62" s="103">
        <f>'54'!D$34</f>
        <v>743.45</v>
      </c>
      <c r="L62" s="115" t="str">
        <f>"per "&amp;'BMP info'!E61&amp;"
per year"</f>
        <v>per acre
per year</v>
      </c>
      <c r="M62" s="83"/>
      <c r="N62" s="62">
        <f t="shared" si="13"/>
        <v>0.22344353555617535</v>
      </c>
      <c r="O62" s="63">
        <f t="shared" si="14"/>
        <v>0.24324619012563653</v>
      </c>
      <c r="P62" s="63">
        <f t="shared" si="15"/>
        <v>0.31488842276336904</v>
      </c>
      <c r="Q62" s="115" t="s">
        <v>137</v>
      </c>
      <c r="R62" s="83"/>
      <c r="S62" s="108">
        <f t="shared" si="16"/>
        <v>3175.7280601944376</v>
      </c>
      <c r="T62" s="109">
        <f t="shared" si="17"/>
        <v>4111.0613057639284</v>
      </c>
      <c r="U62" s="109">
        <f t="shared" si="18"/>
        <v>4475.403584672481</v>
      </c>
      <c r="V62" s="115" t="s">
        <v>190</v>
      </c>
    </row>
    <row r="63" spans="1:22" ht="33.75" customHeight="1">
      <c r="A63" s="8">
        <v>55</v>
      </c>
      <c r="B63" s="16" t="s">
        <v>69</v>
      </c>
      <c r="C63" s="71" t="s">
        <v>41</v>
      </c>
      <c r="D63" s="66" t="s">
        <v>42</v>
      </c>
      <c r="F63" s="73">
        <f>'55'!K$30</f>
        <v>0.52053361771069384</v>
      </c>
      <c r="G63" s="74">
        <f>'55'!K$29</f>
        <v>0.91318838399036928</v>
      </c>
      <c r="H63" s="74">
        <f>'55'!K$27</f>
        <v>1.5696352439602081</v>
      </c>
      <c r="I63" s="115" t="str">
        <f>"pounds of TN reduced
per "&amp;'BMP info'!E62&amp;"
per year"</f>
        <v>pounds of TN reduced
per acre
per year</v>
      </c>
      <c r="J63" s="83"/>
      <c r="K63" s="103">
        <f>'55'!D$34</f>
        <v>147.5</v>
      </c>
      <c r="L63" s="115" t="str">
        <f>"per "&amp;'BMP info'!E62&amp;"
per year"</f>
        <v>per acre
per year</v>
      </c>
      <c r="M63" s="83"/>
      <c r="N63" s="62">
        <f t="shared" si="13"/>
        <v>3.5290414760047044</v>
      </c>
      <c r="O63" s="63">
        <f t="shared" si="14"/>
        <v>6.1911076880703</v>
      </c>
      <c r="P63" s="63">
        <f t="shared" si="15"/>
        <v>10.641594874306495</v>
      </c>
      <c r="Q63" s="115" t="s">
        <v>137</v>
      </c>
      <c r="R63" s="83"/>
      <c r="S63" s="108">
        <f t="shared" si="16"/>
        <v>93.970876716462968</v>
      </c>
      <c r="T63" s="109">
        <f t="shared" si="17"/>
        <v>161.52198449510234</v>
      </c>
      <c r="U63" s="109">
        <f t="shared" si="18"/>
        <v>283.36306240642978</v>
      </c>
      <c r="V63" s="115" t="s">
        <v>190</v>
      </c>
    </row>
    <row r="64" spans="1:22" ht="33.75" customHeight="1">
      <c r="A64" s="8">
        <v>56</v>
      </c>
      <c r="B64" s="16" t="s">
        <v>69</v>
      </c>
      <c r="C64" s="71" t="s">
        <v>44</v>
      </c>
      <c r="D64" s="66" t="s">
        <v>45</v>
      </c>
      <c r="F64" s="73">
        <f>'56'!K$30</f>
        <v>2.081043491</v>
      </c>
      <c r="G64" s="74">
        <f>'56'!K$29</f>
        <v>4.7130334710000001</v>
      </c>
      <c r="H64" s="74">
        <f>'56'!K$27</f>
        <v>8.7575702960000008</v>
      </c>
      <c r="I64" s="115" t="str">
        <f>"pounds of TN reduced
per "&amp;'BMP info'!E63&amp;"
per year"</f>
        <v>pounds of TN reduced
per acre
per year</v>
      </c>
      <c r="J64" s="83"/>
      <c r="K64" s="104">
        <f>'56'!D$34</f>
        <v>2009.75</v>
      </c>
      <c r="L64" s="115" t="str">
        <f>"per "&amp;'BMP info'!E63&amp;"
per year"</f>
        <v>per acre
per year</v>
      </c>
      <c r="M64" s="83"/>
      <c r="N64" s="62">
        <f t="shared" si="13"/>
        <v>1.0354738106729693</v>
      </c>
      <c r="O64" s="63">
        <f t="shared" si="14"/>
        <v>2.3450844488120413</v>
      </c>
      <c r="P64" s="63">
        <f t="shared" si="15"/>
        <v>4.3575421301156867</v>
      </c>
      <c r="Q64" s="115" t="s">
        <v>137</v>
      </c>
      <c r="R64" s="83"/>
      <c r="S64" s="108">
        <f t="shared" si="16"/>
        <v>229.48716733886206</v>
      </c>
      <c r="T64" s="109">
        <f t="shared" si="17"/>
        <v>426.42387591055575</v>
      </c>
      <c r="U64" s="109">
        <f t="shared" si="18"/>
        <v>965.74146993643967</v>
      </c>
      <c r="V64" s="115" t="s">
        <v>190</v>
      </c>
    </row>
    <row r="65" spans="1:22" ht="33.75" customHeight="1">
      <c r="A65" s="8">
        <v>57</v>
      </c>
      <c r="B65" s="16" t="s">
        <v>69</v>
      </c>
      <c r="C65" s="71" t="s">
        <v>67</v>
      </c>
      <c r="D65" s="66" t="s">
        <v>43</v>
      </c>
      <c r="F65" s="73">
        <f>'57'!K$30</f>
        <v>3.7181314282536534E-3</v>
      </c>
      <c r="G65" s="74">
        <f>'57'!K$29</f>
        <v>1.6042668561497206E-2</v>
      </c>
      <c r="H65" s="74">
        <f>'57'!K$27</f>
        <v>2.000003681625637E-2</v>
      </c>
      <c r="I65" s="115" t="str">
        <f>"pounds of TN reduced
per "&amp;'BMP info'!E64&amp;"
per year"</f>
        <v>pounds of TN reduced
per foot
per year</v>
      </c>
      <c r="J65" s="83"/>
      <c r="K65" s="103">
        <f>'57'!D$34</f>
        <v>41.004999999999995</v>
      </c>
      <c r="L65" s="115" t="str">
        <f>"per "&amp;'BMP info'!E64&amp;"
per year"</f>
        <v>per foot
per year</v>
      </c>
      <c r="M65" s="83"/>
      <c r="N65" s="62">
        <f t="shared" si="13"/>
        <v>9.0675074460520769E-2</v>
      </c>
      <c r="O65" s="63">
        <f t="shared" si="14"/>
        <v>0.39123688724538974</v>
      </c>
      <c r="P65" s="63">
        <f t="shared" si="15"/>
        <v>0.48774629475079556</v>
      </c>
      <c r="Q65" s="115" t="s">
        <v>137</v>
      </c>
      <c r="R65" s="83"/>
      <c r="S65" s="108">
        <f t="shared" si="16"/>
        <v>2050.2462258804662</v>
      </c>
      <c r="T65" s="109">
        <f t="shared" si="17"/>
        <v>2555.9962074148307</v>
      </c>
      <c r="U65" s="109">
        <f t="shared" si="18"/>
        <v>11028.389068876832</v>
      </c>
      <c r="V65" s="115" t="s">
        <v>190</v>
      </c>
    </row>
    <row r="66" spans="1:22" ht="33.75" customHeight="1">
      <c r="A66" s="252">
        <v>58</v>
      </c>
      <c r="B66" s="16" t="s">
        <v>69</v>
      </c>
      <c r="C66" s="71" t="s">
        <v>288</v>
      </c>
      <c r="D66" s="253" t="s">
        <v>140</v>
      </c>
      <c r="F66" s="73">
        <f>'58'!K$30</f>
        <v>2.6690561530000001</v>
      </c>
      <c r="G66" s="74">
        <f>'58'!K$29</f>
        <v>3.0642945560000001</v>
      </c>
      <c r="H66" s="74">
        <f>'58'!K$27</f>
        <v>4.8831377390000004</v>
      </c>
      <c r="I66" s="115" t="str">
        <f>"pounds of TN reduced
per "&amp;'BMP info'!E65&amp;"
per year"</f>
        <v>pounds of TN reduced
per acre treated
per year</v>
      </c>
      <c r="J66" s="83"/>
      <c r="K66" s="103">
        <f>'58'!D$34</f>
        <v>499.05</v>
      </c>
      <c r="L66" s="115" t="str">
        <f>"per "&amp;'BMP info'!E65&amp;"
per year"</f>
        <v>per acre treated
per year</v>
      </c>
      <c r="M66" s="83"/>
      <c r="N66" s="62">
        <f t="shared" si="13"/>
        <v>5.3482740266506363</v>
      </c>
      <c r="O66" s="63">
        <f t="shared" si="14"/>
        <v>6.140255597635508</v>
      </c>
      <c r="P66" s="63">
        <f t="shared" si="15"/>
        <v>9.7848667247770784</v>
      </c>
      <c r="Q66" s="115" t="s">
        <v>137</v>
      </c>
      <c r="R66" s="83"/>
      <c r="S66" s="108">
        <f t="shared" si="16"/>
        <v>102.19863265667345</v>
      </c>
      <c r="T66" s="109">
        <f t="shared" si="17"/>
        <v>162.85966994355746</v>
      </c>
      <c r="U66" s="109">
        <f t="shared" si="18"/>
        <v>186.97620858934397</v>
      </c>
      <c r="V66" s="115" t="s">
        <v>190</v>
      </c>
    </row>
    <row r="67" spans="1:22" ht="33.75" customHeight="1" thickBot="1">
      <c r="A67" s="90">
        <v>59</v>
      </c>
      <c r="B67" s="91" t="s">
        <v>69</v>
      </c>
      <c r="C67" s="270" t="s">
        <v>289</v>
      </c>
      <c r="D67" s="159" t="s">
        <v>46</v>
      </c>
      <c r="F67" s="68">
        <f>'59'!K$30</f>
        <v>0.75197549399999997</v>
      </c>
      <c r="G67" s="61">
        <f>'59'!K$29</f>
        <v>1.666193837</v>
      </c>
      <c r="H67" s="61">
        <f>'59'!K$27</f>
        <v>2.456246938</v>
      </c>
      <c r="I67" s="115" t="str">
        <f>"pounds of TN reduced
per "&amp;'BMP info'!E66&amp;"
per year"</f>
        <v>pounds of TN reduced
per acre treated
per year</v>
      </c>
      <c r="J67" s="83"/>
      <c r="K67" s="105">
        <f>'59'!D$34</f>
        <v>459</v>
      </c>
      <c r="L67" s="115" t="str">
        <f>"per "&amp;'BMP info'!E66&amp;"
per year"</f>
        <v>per acre treated
per year</v>
      </c>
      <c r="M67" s="83"/>
      <c r="N67" s="64">
        <f>IF($K67=0,"-",1000*F67/$K67)</f>
        <v>1.6382908366013069</v>
      </c>
      <c r="O67" s="65">
        <f>IF($K67=0,"-",1000*G67/$K67)</f>
        <v>3.6300519324618739</v>
      </c>
      <c r="P67" s="65">
        <f>IF($K67=0,"-",1000*H67/$K67)</f>
        <v>5.351300518518519</v>
      </c>
      <c r="Q67" s="116" t="s">
        <v>137</v>
      </c>
      <c r="R67" s="83"/>
      <c r="S67" s="113">
        <f>IF($K67*H67=0,"-",$K67/H67)</f>
        <v>186.87046196329956</v>
      </c>
      <c r="T67" s="114">
        <f>IF($K67*G67=0,"-",$K67/G67)</f>
        <v>275.47815254582531</v>
      </c>
      <c r="U67" s="114">
        <f>IF($K67*F67=0,"-",$K67/F67)</f>
        <v>610.39223174472227</v>
      </c>
      <c r="V67" s="116" t="s">
        <v>190</v>
      </c>
    </row>
    <row r="68" spans="1:22" ht="13.5" thickTop="1"/>
    <row r="69" spans="1:22">
      <c r="A69" s="1" t="s">
        <v>297</v>
      </c>
    </row>
  </sheetData>
  <mergeCells count="5">
    <mergeCell ref="S1:V1"/>
    <mergeCell ref="N1:Q1"/>
    <mergeCell ref="A1:D1"/>
    <mergeCell ref="F1:I1"/>
    <mergeCell ref="K1:L1"/>
  </mergeCells>
  <phoneticPr fontId="1" type="noConversion"/>
  <hyperlinks>
    <hyperlink ref="C38" location="'36a'!A1" display="Septic Connection ― Critical Area"/>
    <hyperlink ref="C39" location="'36b'!A1" display="Septic Connection ― 1,000 feet of stream"/>
    <hyperlink ref="C40" location="'36c'!A1" display="Septic Connection ― other"/>
    <hyperlink ref="C25" location="'23'!A1" display="Nutrient Management"/>
    <hyperlink ref="C15" location="'13'!A1" display="Enhanced Nutrient Management"/>
    <hyperlink ref="C13" location="'11'!A1" display="Decision Agriculture"/>
    <hyperlink ref="C41" location="'37a'!A1" display="Septic Denitrification ― Critical Area"/>
    <hyperlink ref="C42" location="'37b'!A1" display="Septic Denitrification ― 1,000 feet of stream"/>
    <hyperlink ref="C43" location="'37c'!A1" display="Septic Denitrification ― other"/>
    <hyperlink ref="C44" location="'38a'!A1" display="Septic Pumping ― Critical Area"/>
    <hyperlink ref="C45" location="'38b'!A1" display="Septic Pumping ― 1,000 feet of stream"/>
    <hyperlink ref="C46" location="'38c'!A1" display="Septic Pumping ― other"/>
    <hyperlink ref="C5" location="'3'!A1" display="Barnyard Runoff Control"/>
    <hyperlink ref="C6" location="'4'!A1" display="Irrigation Water Capture Reuse"/>
    <hyperlink ref="C7" location="'5'!A1" display="Alternative Crops"/>
    <hyperlink ref="C11" location="'9'!A1" display="Cover Crop Standard Drilled Wheat"/>
    <hyperlink ref="C8" location="'6'!A1" display="Heavy Use Poultry Area Concrete Pads"/>
    <hyperlink ref="C9" location="'7'!A1" display="Soil Conservation and Water Quality Plans"/>
    <hyperlink ref="C3" location="'1'!A1" display="Poultry Litter Treatment (alum, for example)"/>
    <hyperlink ref="C4" location="'2'!A1" display="Animal Waste Management System"/>
    <hyperlink ref="C12" location="'10'!A1" display="Cropland Irrigation Management"/>
    <hyperlink ref="C14" location="'12'!A1" display="Sorbing Materials in Ag Ditches"/>
    <hyperlink ref="C16" location="'14'!A1" display="Forest Buffers"/>
    <hyperlink ref="C17" location="'15'!A1" display="Grass Buffers; Vegetated Open Channel - Agriculture"/>
    <hyperlink ref="C18" location="'16'!A1" display="Horse Pasture Management"/>
    <hyperlink ref="C19" location="'17'!A1" display="Land Retirement to hay without nutrients (HEL)"/>
    <hyperlink ref="C20" location="'18'!A1" display="Land Retirement to pasture (HEL)"/>
    <hyperlink ref="C21" location="'19'!A1" display="Dairy Manure Injection"/>
    <hyperlink ref="C22" location="'20'!A1" display="Loafing Lot Management"/>
    <hyperlink ref="C23" location="'21'!A1" display="Mortality Composters"/>
    <hyperlink ref="C24" location="'22'!A1" display="Non Urban Stream Restoration; Shoreline Erosion Control"/>
    <hyperlink ref="C26" location="'24'!A1" display="Off Stream Watering Without Fencing"/>
    <hyperlink ref="C27" location="'25'!A1" display="Stream Access Control with Fencing"/>
    <hyperlink ref="C28" location="'26'!A1" display="Poultry Litter Injection"/>
    <hyperlink ref="C29" location="'27'!A1" display="Poultry Phytase "/>
    <hyperlink ref="C30" location="'28'!A1" display="Prescribed Grazing"/>
    <hyperlink ref="C32" location="'30'!A1" display="Precision Intensive Rotational Grazing"/>
    <hyperlink ref="C33" location="'31'!A1" display="Water Control Structures"/>
    <hyperlink ref="C34" location="'32'!A1" display="Wetland Restoration"/>
    <hyperlink ref="C31" location="'29'!A1" display="Tree Planting; Vegetative Environmental Buffers ― Poultry"/>
    <hyperlink ref="C10" location="'8'!A1" display="Conservation Tillage - Percent of Acres"/>
    <hyperlink ref="C36" location="'34'!A1" display="Forest Harvesting Practices"/>
    <hyperlink ref="C37" location="'35'!A1" display="Set Permitted Load"/>
    <hyperlink ref="C35" location="'33'!A1" display="Manure Transport"/>
    <hyperlink ref="C55" location="'47'!A1" display="Urban Forest Buffers"/>
    <hyperlink ref="C47" location="'39'!A1" display="Abandoned Mine Reclamation"/>
    <hyperlink ref="C51" location="'43'!A1" display="Erosion and Sediment Control"/>
    <hyperlink ref="C52" location="'44'!A1" display="Erosion and Sediment Control on Extractive, excess applied to all other pervious urban"/>
    <hyperlink ref="C56" location="'48'!A1" display="Forest Conservation"/>
    <hyperlink ref="C57" location="'49'!A1" display="Impervious Urban Surface Reduction"/>
    <hyperlink ref="C65" location="'57'!A1" display="Urban Stream Restoration; Shoreline Erosion Control; Regenerative Stormwater Conveyance"/>
    <hyperlink ref="C64" location="'56'!A1" display="Urban Tree Planting; Urban Tree Canopy"/>
    <hyperlink ref="C63" location="'55'!A1" display="Urban Nutrient Management"/>
    <hyperlink ref="C48" location="'40'!A1" display="Bioretention/raingardens"/>
    <hyperlink ref="C49" location="'41'!A1" display="Bioswale"/>
    <hyperlink ref="C50" location="'42'!A1" display="Dry Detention Ponds and Hydrodynamic Structures"/>
    <hyperlink ref="C53" location="'45'!A1" display="Dry Extended Detention Ponds"/>
    <hyperlink ref="C54" location="'46'!A1" display="Urban Filtering Practices"/>
    <hyperlink ref="C58" location="'50'!A1" display="Urban Infiltration Practices - no sand\veg no under drain"/>
    <hyperlink ref="C59" location="'51'!A1" display="Urban Infiltration Practices - with sandveg no under drain"/>
    <hyperlink ref="C60" location="'52'!A1" display="Permeable Pavement w/ Sand, Veg. - A/B soils, underdrain"/>
    <hyperlink ref="C61" location="'53'!A1" display="MS4 Permit-Required Stormwater Retrofit"/>
    <hyperlink ref="C66" location="'58'!A1" display="Vegetated Open Channel - Urban"/>
    <hyperlink ref="C67" location="'59'!A1" display="Wet Ponds and Wetlands"/>
    <hyperlink ref="C62" location="'54'!A1" display="Street Sweeping 25 times a year-acres (formerly called Street Sweeping Mechanical Monthly)"/>
  </hyperlinks>
  <pageMargins left="0.75" right="0.75" top="1" bottom="1" header="0.5" footer="0.5"/>
  <pageSetup paperSize="5" scale="29" orientation="landscape" r:id="rId1"/>
  <headerFooter alignWithMargins="0"/>
</worksheet>
</file>

<file path=xl/worksheets/sheet50.xml><?xml version="1.0" encoding="utf-8"?>
<worksheet xmlns="http://schemas.openxmlformats.org/spreadsheetml/2006/main" xmlns:r="http://schemas.openxmlformats.org/officeDocument/2006/relationships">
  <sheetPr codeName="Sheet33"/>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1" style="17" bestFit="1" customWidth="1"/>
    <col min="13" max="16384" width="9.140625" style="17"/>
  </cols>
  <sheetData>
    <row r="1" spans="1:19" s="20" customFormat="1" ht="21" customHeight="1">
      <c r="A1" s="302" t="s">
        <v>136</v>
      </c>
      <c r="B1" s="303"/>
      <c r="D1" s="25" t="s">
        <v>134</v>
      </c>
      <c r="E1" s="89" t="str">
        <f>VLOOKUP($K$1,'BMP info'!A:G,3,FALSE)</f>
        <v>Septic Denitrification ― other</v>
      </c>
      <c r="I1" s="22"/>
      <c r="J1" s="37" t="s">
        <v>135</v>
      </c>
      <c r="K1" s="50" t="s">
        <v>153</v>
      </c>
      <c r="L1" s="22"/>
      <c r="M1" s="22"/>
      <c r="N1" s="22"/>
      <c r="O1" s="22"/>
      <c r="P1" s="22"/>
      <c r="Q1" s="22"/>
      <c r="R1" s="22"/>
    </row>
    <row r="2" spans="1:19" s="20" customFormat="1" ht="12.75" customHeight="1">
      <c r="D2" s="48" t="s">
        <v>3</v>
      </c>
      <c r="E2" s="19" t="str">
        <f>VLOOKUP($K$1,'BMP info'!A:G,4,FALSE)</f>
        <v>SepticDenitrify</v>
      </c>
      <c r="I2" s="23"/>
      <c r="L2" s="23"/>
      <c r="M2" s="23"/>
      <c r="N2" s="23"/>
      <c r="O2" s="23"/>
      <c r="P2" s="23"/>
      <c r="Q2" s="23"/>
      <c r="R2" s="23"/>
      <c r="S2" s="23"/>
    </row>
    <row r="3" spans="1:19" s="20" customFormat="1" ht="12.75" customHeight="1">
      <c r="D3" s="48" t="s">
        <v>79</v>
      </c>
      <c r="E3" s="19" t="str">
        <f>VLOOKUP($K$1,'BMP info'!A:G,5,FALSE)</f>
        <v>system</v>
      </c>
      <c r="I3" s="23"/>
      <c r="K3" s="49"/>
      <c r="L3" s="23"/>
      <c r="M3" s="23"/>
      <c r="N3" s="23"/>
      <c r="O3" s="23"/>
      <c r="P3" s="23"/>
      <c r="Q3" s="23"/>
      <c r="R3" s="23"/>
      <c r="S3" s="23"/>
    </row>
    <row r="4" spans="1:19" s="20" customFormat="1" ht="12.75" customHeight="1">
      <c r="D4" s="48" t="s">
        <v>170</v>
      </c>
      <c r="E4" s="19" t="str">
        <f>VLOOKUP($K$1,'BMP info'!A:G,6,FALSE)</f>
        <v>septic</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4.7908255013062799</v>
      </c>
      <c r="E13" s="29" t="str">
        <f t="shared" si="0"/>
        <v>-</v>
      </c>
      <c r="F13" s="51" t="str">
        <f t="shared" si="0"/>
        <v>-</v>
      </c>
      <c r="G13" s="305" t="s">
        <v>254</v>
      </c>
      <c r="H13" s="300"/>
      <c r="J13" s="24" t="s">
        <v>9</v>
      </c>
      <c r="K13" s="28">
        <f t="shared" ref="K13:M16" si="1">IF(K27*$D$34=0,"-",1000*K27/$D$34)</f>
        <v>4.7908255013062799</v>
      </c>
      <c r="L13" s="29" t="str">
        <f t="shared" si="1"/>
        <v>-</v>
      </c>
      <c r="M13" s="51" t="str">
        <f t="shared" si="1"/>
        <v>-</v>
      </c>
      <c r="N13" s="305" t="s">
        <v>133</v>
      </c>
      <c r="O13" s="300"/>
    </row>
    <row r="14" spans="1:19">
      <c r="C14" s="24" t="s">
        <v>7</v>
      </c>
      <c r="D14" s="31">
        <f t="shared" si="0"/>
        <v>4.437960166932446</v>
      </c>
      <c r="E14" s="32" t="str">
        <f t="shared" si="0"/>
        <v>-</v>
      </c>
      <c r="F14" s="52" t="str">
        <f t="shared" si="0"/>
        <v>-</v>
      </c>
      <c r="G14" s="301"/>
      <c r="H14" s="300"/>
      <c r="J14" s="24" t="s">
        <v>7</v>
      </c>
      <c r="K14" s="31">
        <f t="shared" si="1"/>
        <v>3.9900926271502728</v>
      </c>
      <c r="L14" s="32" t="str">
        <f t="shared" si="1"/>
        <v>-</v>
      </c>
      <c r="M14" s="52" t="str">
        <f t="shared" si="1"/>
        <v>-</v>
      </c>
      <c r="N14" s="301"/>
      <c r="O14" s="300"/>
    </row>
    <row r="15" spans="1:19">
      <c r="C15" s="24" t="s">
        <v>8</v>
      </c>
      <c r="D15" s="31">
        <f t="shared" si="0"/>
        <v>4.5601058596003119</v>
      </c>
      <c r="E15" s="32" t="str">
        <f t="shared" si="0"/>
        <v>-</v>
      </c>
      <c r="F15" s="52" t="str">
        <f t="shared" si="0"/>
        <v>-</v>
      </c>
      <c r="G15" s="301"/>
      <c r="H15" s="300"/>
      <c r="J15" s="24" t="s">
        <v>8</v>
      </c>
      <c r="K15" s="31">
        <f t="shared" si="1"/>
        <v>4.3836731924133954</v>
      </c>
      <c r="L15" s="32" t="str">
        <f t="shared" si="1"/>
        <v>-</v>
      </c>
      <c r="M15" s="52" t="str">
        <f t="shared" si="1"/>
        <v>-</v>
      </c>
      <c r="N15" s="301"/>
      <c r="O15" s="300"/>
    </row>
    <row r="16" spans="1:19" ht="13.5" thickBot="1">
      <c r="C16" s="24" t="s">
        <v>6</v>
      </c>
      <c r="D16" s="34">
        <f t="shared" si="0"/>
        <v>3.9493773962609846</v>
      </c>
      <c r="E16" s="35" t="str">
        <f t="shared" si="0"/>
        <v>-</v>
      </c>
      <c r="F16" s="53" t="str">
        <f t="shared" si="0"/>
        <v>-</v>
      </c>
      <c r="G16" s="301"/>
      <c r="H16" s="300"/>
      <c r="J16" s="24" t="s">
        <v>6</v>
      </c>
      <c r="K16" s="34">
        <f t="shared" si="1"/>
        <v>2.5922030332847013</v>
      </c>
      <c r="L16" s="35" t="str">
        <f t="shared" si="1"/>
        <v>-</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208.73229461756375</v>
      </c>
      <c r="E20" s="29" t="str">
        <f t="shared" si="2"/>
        <v>-</v>
      </c>
      <c r="F20" s="51" t="str">
        <f t="shared" si="2"/>
        <v>-</v>
      </c>
      <c r="G20" s="305" t="s">
        <v>253</v>
      </c>
      <c r="H20" s="300"/>
      <c r="J20" s="24" t="s">
        <v>9</v>
      </c>
      <c r="K20" s="28">
        <f t="shared" ref="K20:M23" si="3">IF(K27=0,"-",$D$34/K27)</f>
        <v>208.73229461756375</v>
      </c>
      <c r="L20" s="29" t="str">
        <f t="shared" si="3"/>
        <v>-</v>
      </c>
      <c r="M20" s="51" t="str">
        <f t="shared" si="3"/>
        <v>-</v>
      </c>
      <c r="N20" s="305" t="s">
        <v>132</v>
      </c>
      <c r="O20" s="300"/>
    </row>
    <row r="21" spans="1:16">
      <c r="C21" s="24" t="s">
        <v>7</v>
      </c>
      <c r="D21" s="31">
        <f t="shared" si="2"/>
        <v>225.32874617737005</v>
      </c>
      <c r="E21" s="32" t="str">
        <f t="shared" si="2"/>
        <v>-</v>
      </c>
      <c r="F21" s="52" t="str">
        <f t="shared" si="2"/>
        <v>-</v>
      </c>
      <c r="G21" s="301"/>
      <c r="H21" s="300"/>
      <c r="J21" s="24" t="s">
        <v>7</v>
      </c>
      <c r="K21" s="31">
        <f t="shared" si="3"/>
        <v>250.62074829931976</v>
      </c>
      <c r="L21" s="32" t="str">
        <f t="shared" si="3"/>
        <v>-</v>
      </c>
      <c r="M21" s="52" t="str">
        <f t="shared" si="3"/>
        <v>-</v>
      </c>
      <c r="N21" s="301"/>
      <c r="O21" s="300"/>
    </row>
    <row r="22" spans="1:16">
      <c r="C22" s="24" t="s">
        <v>8</v>
      </c>
      <c r="D22" s="31">
        <f t="shared" si="2"/>
        <v>219.29315476190479</v>
      </c>
      <c r="E22" s="32" t="str">
        <f t="shared" si="2"/>
        <v>-</v>
      </c>
      <c r="F22" s="52" t="str">
        <f t="shared" si="2"/>
        <v>-</v>
      </c>
      <c r="G22" s="301"/>
      <c r="H22" s="300"/>
      <c r="J22" s="24" t="s">
        <v>8</v>
      </c>
      <c r="K22" s="31">
        <f t="shared" si="3"/>
        <v>228.11919504643964</v>
      </c>
      <c r="L22" s="32" t="str">
        <f t="shared" si="3"/>
        <v>-</v>
      </c>
      <c r="M22" s="52" t="str">
        <f t="shared" si="3"/>
        <v>-</v>
      </c>
      <c r="N22" s="301"/>
      <c r="O22" s="300"/>
    </row>
    <row r="23" spans="1:16" ht="13.5" thickBot="1">
      <c r="C23" s="24" t="s">
        <v>6</v>
      </c>
      <c r="D23" s="34">
        <f t="shared" si="2"/>
        <v>253.20446735395188</v>
      </c>
      <c r="E23" s="35" t="str">
        <f t="shared" si="2"/>
        <v>-</v>
      </c>
      <c r="F23" s="53" t="str">
        <f t="shared" si="2"/>
        <v>-</v>
      </c>
      <c r="G23" s="301"/>
      <c r="H23" s="300"/>
      <c r="J23" s="24" t="s">
        <v>6</v>
      </c>
      <c r="K23" s="34">
        <f t="shared" si="3"/>
        <v>385.77225130890054</v>
      </c>
      <c r="L23" s="35" t="str">
        <f t="shared" si="3"/>
        <v>-</v>
      </c>
      <c r="M23" s="53" t="str">
        <f t="shared" si="3"/>
        <v>-</v>
      </c>
      <c r="N23" s="301"/>
      <c r="O23" s="300"/>
    </row>
    <row r="24" spans="1:16" ht="13.5" thickBot="1">
      <c r="F24" s="54"/>
    </row>
    <row r="25" spans="1:16" s="42" customFormat="1">
      <c r="A25" s="86" t="s">
        <v>255</v>
      </c>
      <c r="D25" s="43" t="s">
        <v>128</v>
      </c>
      <c r="E25" s="43"/>
      <c r="F25" s="55"/>
      <c r="H25" s="86"/>
      <c r="K25" s="43" t="s">
        <v>128</v>
      </c>
      <c r="L25" s="43" t="s">
        <v>129</v>
      </c>
      <c r="M25" s="55" t="s">
        <v>130</v>
      </c>
    </row>
    <row r="26" spans="1:16" ht="5.25" customHeight="1" thickBot="1">
      <c r="F26" s="54"/>
      <c r="M26" s="54"/>
    </row>
    <row r="27" spans="1:16" ht="12.75" customHeight="1">
      <c r="C27" s="24" t="s">
        <v>9</v>
      </c>
      <c r="D27" s="208">
        <v>3.53</v>
      </c>
      <c r="E27" s="209">
        <v>0</v>
      </c>
      <c r="F27" s="210">
        <v>0</v>
      </c>
      <c r="G27" s="305" t="str">
        <f>"EOS pounds removed per '"&amp;E3&amp;"' of practice per year"</f>
        <v>EOS pounds removed per 'system' of practice per year</v>
      </c>
      <c r="H27" s="300"/>
      <c r="J27" s="24" t="s">
        <v>9</v>
      </c>
      <c r="K27" s="56">
        <v>3.53</v>
      </c>
      <c r="L27" s="209">
        <v>0</v>
      </c>
      <c r="M27" s="210">
        <v>0</v>
      </c>
      <c r="N27" s="299" t="str">
        <f>"delivered pounds removed per '"&amp;E3&amp;"' of practice per year"</f>
        <v>delivered pounds removed per 'system' of practice per year</v>
      </c>
      <c r="O27" s="300"/>
      <c r="P27" s="204"/>
    </row>
    <row r="28" spans="1:16">
      <c r="C28" s="24" t="s">
        <v>7</v>
      </c>
      <c r="D28" s="211">
        <v>3.27</v>
      </c>
      <c r="E28" s="212">
        <v>0</v>
      </c>
      <c r="F28" s="213">
        <v>0</v>
      </c>
      <c r="G28" s="301"/>
      <c r="H28" s="300"/>
      <c r="J28" s="24" t="s">
        <v>7</v>
      </c>
      <c r="K28" s="57">
        <v>2.94</v>
      </c>
      <c r="L28" s="212">
        <v>0</v>
      </c>
      <c r="M28" s="213">
        <v>0</v>
      </c>
      <c r="N28" s="301"/>
      <c r="O28" s="300"/>
      <c r="P28" s="204"/>
    </row>
    <row r="29" spans="1:16">
      <c r="C29" s="24" t="s">
        <v>8</v>
      </c>
      <c r="D29" s="211">
        <v>3.36</v>
      </c>
      <c r="E29" s="212">
        <v>0</v>
      </c>
      <c r="F29" s="213">
        <v>0</v>
      </c>
      <c r="G29" s="301"/>
      <c r="H29" s="300"/>
      <c r="J29" s="24" t="s">
        <v>8</v>
      </c>
      <c r="K29" s="57">
        <v>3.23</v>
      </c>
      <c r="L29" s="212">
        <v>0</v>
      </c>
      <c r="M29" s="213">
        <v>0</v>
      </c>
      <c r="N29" s="301"/>
      <c r="O29" s="300"/>
      <c r="P29" s="204"/>
    </row>
    <row r="30" spans="1:16" ht="13.5" thickBot="1">
      <c r="C30" s="24" t="s">
        <v>6</v>
      </c>
      <c r="D30" s="214">
        <v>2.91</v>
      </c>
      <c r="E30" s="215">
        <v>0</v>
      </c>
      <c r="F30" s="216">
        <v>0</v>
      </c>
      <c r="G30" s="301"/>
      <c r="H30" s="300"/>
      <c r="J30" s="24" t="s">
        <v>6</v>
      </c>
      <c r="K30" s="58">
        <v>1.91</v>
      </c>
      <c r="L30" s="215">
        <v>0</v>
      </c>
      <c r="M30" s="216">
        <v>0</v>
      </c>
      <c r="N30" s="301"/>
      <c r="O30" s="300"/>
      <c r="P30" s="204"/>
    </row>
    <row r="31" spans="1:16" ht="13.5" thickBot="1"/>
    <row r="32" spans="1:16" s="42" customFormat="1">
      <c r="A32" s="86" t="s">
        <v>1</v>
      </c>
    </row>
    <row r="33" spans="1:12" ht="5.25" customHeight="1" thickBot="1"/>
    <row r="34" spans="1:12" ht="13.5" thickBot="1">
      <c r="C34" s="24" t="s">
        <v>11</v>
      </c>
      <c r="D34" s="46">
        <f>-PMT(D39,D38,D36)+D37</f>
        <v>736.82500000000005</v>
      </c>
      <c r="E34" s="18" t="str">
        <f>"$ per '"&amp;E3&amp;"' of practice per year"</f>
        <v>$ per 'system' of practice per year</v>
      </c>
      <c r="I34" s="82" t="s">
        <v>169</v>
      </c>
      <c r="J34" s="217" t="s">
        <v>160</v>
      </c>
      <c r="K34" s="217" t="s">
        <v>229</v>
      </c>
      <c r="L34" s="219" t="s">
        <v>165</v>
      </c>
    </row>
    <row r="35" spans="1:12" ht="5.25" customHeight="1" thickBot="1">
      <c r="C35" s="24"/>
      <c r="D35" s="47"/>
      <c r="E35" s="18"/>
      <c r="I35" s="78"/>
      <c r="J35" s="220"/>
      <c r="K35" s="220"/>
      <c r="L35" s="221"/>
    </row>
    <row r="36" spans="1:12">
      <c r="C36" s="24" t="s">
        <v>10</v>
      </c>
      <c r="D36" s="38">
        <f>L36</f>
        <v>11326.5</v>
      </c>
      <c r="E36" s="18" t="str">
        <f>"$ per '"&amp;E3&amp;"' of practice"</f>
        <v>$ per 'system' of practice</v>
      </c>
      <c r="I36" s="78" t="s">
        <v>162</v>
      </c>
      <c r="J36" s="236">
        <v>9653</v>
      </c>
      <c r="K36" s="236">
        <v>13000</v>
      </c>
      <c r="L36" s="241">
        <f>AVERAGE(J36:K36)</f>
        <v>11326.5</v>
      </c>
    </row>
    <row r="37" spans="1:12">
      <c r="C37" s="24" t="s">
        <v>12</v>
      </c>
      <c r="D37" s="39">
        <f>L37</f>
        <v>170.5</v>
      </c>
      <c r="E37" s="18" t="str">
        <f>"$ per '"&amp;E3&amp;"' of practice per year"</f>
        <v>$ per 'system' of practice per year</v>
      </c>
      <c r="I37" s="78" t="s">
        <v>161</v>
      </c>
      <c r="J37" s="236">
        <v>341</v>
      </c>
      <c r="K37" s="236">
        <v>0</v>
      </c>
      <c r="L37" s="241">
        <f>AVERAGE(J37:K37)</f>
        <v>170.5</v>
      </c>
    </row>
    <row r="38" spans="1:12">
      <c r="C38" s="24" t="s">
        <v>13</v>
      </c>
      <c r="D38" s="40">
        <f>L38</f>
        <v>20</v>
      </c>
      <c r="E38" s="18" t="s">
        <v>15</v>
      </c>
      <c r="I38" s="78" t="s">
        <v>163</v>
      </c>
      <c r="J38" s="245">
        <v>20</v>
      </c>
      <c r="K38" s="245">
        <v>20</v>
      </c>
      <c r="L38" s="247">
        <v>20</v>
      </c>
    </row>
    <row r="39" spans="1:12" ht="13.5" thickBot="1">
      <c r="C39" s="24" t="s">
        <v>14</v>
      </c>
      <c r="D39" s="41">
        <f>Summary!C35</f>
        <v>0</v>
      </c>
      <c r="E39" s="18" t="s">
        <v>16</v>
      </c>
      <c r="I39" s="80" t="s">
        <v>166</v>
      </c>
      <c r="J39" s="239">
        <f>J37+J36/J38</f>
        <v>823.65</v>
      </c>
      <c r="K39" s="239">
        <f>K36/K38</f>
        <v>650</v>
      </c>
      <c r="L39" s="242">
        <f>L36/L38</f>
        <v>566.32500000000005</v>
      </c>
    </row>
    <row r="40" spans="1:12">
      <c r="F40" s="234"/>
    </row>
    <row r="41" spans="1:12" ht="12.75" customHeight="1">
      <c r="I41" s="304" t="s">
        <v>228</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51.xml><?xml version="1.0" encoding="utf-8"?>
<worksheet xmlns="http://schemas.openxmlformats.org/spreadsheetml/2006/main" xmlns:r="http://schemas.openxmlformats.org/officeDocument/2006/relationships">
  <sheetPr codeName="Sheet37"/>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Septic Pumping ― Critical Area</v>
      </c>
      <c r="I1" s="22"/>
      <c r="J1" s="37" t="s">
        <v>135</v>
      </c>
      <c r="K1" s="50" t="s">
        <v>154</v>
      </c>
      <c r="L1" s="22"/>
      <c r="M1" s="22"/>
      <c r="N1" s="22"/>
      <c r="O1" s="22"/>
      <c r="P1" s="22"/>
      <c r="Q1" s="22"/>
      <c r="R1" s="22"/>
    </row>
    <row r="2" spans="1:19" s="20" customFormat="1" ht="12.75" customHeight="1">
      <c r="D2" s="48" t="s">
        <v>3</v>
      </c>
      <c r="E2" s="19" t="str">
        <f>VLOOKUP($K$1,'BMP info'!A:G,4,FALSE)</f>
        <v>SepticPump</v>
      </c>
      <c r="I2" s="23"/>
      <c r="L2" s="23"/>
      <c r="M2" s="23"/>
      <c r="N2" s="23"/>
      <c r="O2" s="23"/>
      <c r="P2" s="23"/>
      <c r="Q2" s="23"/>
      <c r="R2" s="23"/>
      <c r="S2" s="23"/>
    </row>
    <row r="3" spans="1:19" s="20" customFormat="1" ht="12.75" customHeight="1">
      <c r="D3" s="48" t="s">
        <v>79</v>
      </c>
      <c r="E3" s="19" t="str">
        <f>VLOOKUP($K$1,'BMP info'!A:G,5,FALSE)</f>
        <v>system</v>
      </c>
      <c r="I3" s="23"/>
      <c r="K3" s="49"/>
      <c r="L3" s="23"/>
      <c r="M3" s="23"/>
      <c r="N3" s="23"/>
      <c r="O3" s="23"/>
      <c r="P3" s="23"/>
      <c r="Q3" s="23"/>
      <c r="R3" s="23"/>
      <c r="S3" s="23"/>
    </row>
    <row r="4" spans="1:19" s="20" customFormat="1" ht="12.75" customHeight="1">
      <c r="D4" s="48" t="s">
        <v>170</v>
      </c>
      <c r="E4" s="19" t="str">
        <f>VLOOKUP($K$1,'BMP info'!A:G,6,FALSE)</f>
        <v>septic</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4.6113989637305703</v>
      </c>
      <c r="E13" s="29" t="str">
        <f t="shared" si="0"/>
        <v>-</v>
      </c>
      <c r="F13" s="51" t="str">
        <f t="shared" si="0"/>
        <v>-</v>
      </c>
      <c r="G13" s="305" t="s">
        <v>254</v>
      </c>
      <c r="H13" s="300"/>
      <c r="J13" s="24" t="s">
        <v>9</v>
      </c>
      <c r="K13" s="28">
        <f t="shared" ref="K13:M16" si="1">IF(K27*$D$34=0,"-",1000*K27/$D$34)</f>
        <v>4.6113989637305703</v>
      </c>
      <c r="L13" s="29" t="str">
        <f t="shared" si="1"/>
        <v>-</v>
      </c>
      <c r="M13" s="51" t="str">
        <f t="shared" si="1"/>
        <v>-</v>
      </c>
      <c r="N13" s="305" t="s">
        <v>133</v>
      </c>
      <c r="O13" s="300"/>
    </row>
    <row r="14" spans="1:19">
      <c r="C14" s="24" t="s">
        <v>7</v>
      </c>
      <c r="D14" s="31">
        <f t="shared" si="0"/>
        <v>4.2487046632124352</v>
      </c>
      <c r="E14" s="32" t="str">
        <f t="shared" si="0"/>
        <v>-</v>
      </c>
      <c r="F14" s="52" t="str">
        <f t="shared" si="0"/>
        <v>-</v>
      </c>
      <c r="G14" s="301"/>
      <c r="H14" s="300"/>
      <c r="J14" s="24" t="s">
        <v>7</v>
      </c>
      <c r="K14" s="31">
        <f t="shared" si="1"/>
        <v>4.1968911917098444</v>
      </c>
      <c r="L14" s="32" t="str">
        <f t="shared" si="1"/>
        <v>-</v>
      </c>
      <c r="M14" s="52" t="str">
        <f t="shared" si="1"/>
        <v>-</v>
      </c>
      <c r="N14" s="301"/>
      <c r="O14" s="300"/>
    </row>
    <row r="15" spans="1:19">
      <c r="C15" s="24" t="s">
        <v>8</v>
      </c>
      <c r="D15" s="31">
        <f t="shared" si="0"/>
        <v>4.0932642487046635</v>
      </c>
      <c r="E15" s="32" t="str">
        <f t="shared" si="0"/>
        <v>-</v>
      </c>
      <c r="F15" s="52" t="str">
        <f t="shared" si="0"/>
        <v>-</v>
      </c>
      <c r="G15" s="301"/>
      <c r="H15" s="300"/>
      <c r="J15" s="24" t="s">
        <v>8</v>
      </c>
      <c r="K15" s="31">
        <f t="shared" si="1"/>
        <v>4.0932642487046635</v>
      </c>
      <c r="L15" s="32" t="str">
        <f t="shared" si="1"/>
        <v>-</v>
      </c>
      <c r="M15" s="52" t="str">
        <f t="shared" si="1"/>
        <v>-</v>
      </c>
      <c r="N15" s="301"/>
      <c r="O15" s="300"/>
    </row>
    <row r="16" spans="1:19" ht="13.5" thickBot="1">
      <c r="C16" s="24" t="s">
        <v>6</v>
      </c>
      <c r="D16" s="34">
        <f t="shared" si="0"/>
        <v>4.0414507772020727</v>
      </c>
      <c r="E16" s="35" t="str">
        <f t="shared" si="0"/>
        <v>-</v>
      </c>
      <c r="F16" s="53" t="str">
        <f t="shared" si="0"/>
        <v>-</v>
      </c>
      <c r="G16" s="301"/>
      <c r="H16" s="300"/>
      <c r="J16" s="24" t="s">
        <v>6</v>
      </c>
      <c r="K16" s="34">
        <f t="shared" si="1"/>
        <v>4.0414507772020727</v>
      </c>
      <c r="L16" s="35" t="str">
        <f t="shared" si="1"/>
        <v>-</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216.85393258426967</v>
      </c>
      <c r="E20" s="29" t="str">
        <f t="shared" si="2"/>
        <v>-</v>
      </c>
      <c r="F20" s="51" t="str">
        <f t="shared" si="2"/>
        <v>-</v>
      </c>
      <c r="G20" s="305" t="s">
        <v>253</v>
      </c>
      <c r="H20" s="300"/>
      <c r="J20" s="24" t="s">
        <v>9</v>
      </c>
      <c r="K20" s="28">
        <f t="shared" ref="K20:M23" si="3">IF(K27=0,"-",$D$34/K27)</f>
        <v>216.85393258426967</v>
      </c>
      <c r="L20" s="29" t="str">
        <f t="shared" si="3"/>
        <v>-</v>
      </c>
      <c r="M20" s="51" t="str">
        <f t="shared" si="3"/>
        <v>-</v>
      </c>
      <c r="N20" s="305" t="s">
        <v>132</v>
      </c>
      <c r="O20" s="300"/>
    </row>
    <row r="21" spans="1:16">
      <c r="C21" s="24" t="s">
        <v>7</v>
      </c>
      <c r="D21" s="31">
        <f t="shared" si="2"/>
        <v>235.36585365853659</v>
      </c>
      <c r="E21" s="32" t="str">
        <f t="shared" si="2"/>
        <v>-</v>
      </c>
      <c r="F21" s="52" t="str">
        <f t="shared" si="2"/>
        <v>-</v>
      </c>
      <c r="G21" s="301"/>
      <c r="H21" s="300"/>
      <c r="J21" s="24" t="s">
        <v>7</v>
      </c>
      <c r="K21" s="31">
        <f t="shared" si="3"/>
        <v>238.27160493827159</v>
      </c>
      <c r="L21" s="32" t="str">
        <f t="shared" si="3"/>
        <v>-</v>
      </c>
      <c r="M21" s="52" t="str">
        <f t="shared" si="3"/>
        <v>-</v>
      </c>
      <c r="N21" s="301"/>
      <c r="O21" s="300"/>
    </row>
    <row r="22" spans="1:16">
      <c r="C22" s="24" t="s">
        <v>8</v>
      </c>
      <c r="D22" s="31">
        <f t="shared" si="2"/>
        <v>244.30379746835442</v>
      </c>
      <c r="E22" s="32" t="str">
        <f t="shared" si="2"/>
        <v>-</v>
      </c>
      <c r="F22" s="52" t="str">
        <f t="shared" si="2"/>
        <v>-</v>
      </c>
      <c r="G22" s="301"/>
      <c r="H22" s="300"/>
      <c r="J22" s="24" t="s">
        <v>8</v>
      </c>
      <c r="K22" s="31">
        <f t="shared" si="3"/>
        <v>244.30379746835442</v>
      </c>
      <c r="L22" s="32" t="str">
        <f t="shared" si="3"/>
        <v>-</v>
      </c>
      <c r="M22" s="52" t="str">
        <f t="shared" si="3"/>
        <v>-</v>
      </c>
      <c r="N22" s="301"/>
      <c r="O22" s="300"/>
    </row>
    <row r="23" spans="1:16" ht="13.5" thickBot="1">
      <c r="C23" s="24" t="s">
        <v>6</v>
      </c>
      <c r="D23" s="34">
        <f t="shared" si="2"/>
        <v>247.43589743589743</v>
      </c>
      <c r="E23" s="35" t="str">
        <f t="shared" si="2"/>
        <v>-</v>
      </c>
      <c r="F23" s="53" t="str">
        <f t="shared" si="2"/>
        <v>-</v>
      </c>
      <c r="G23" s="301"/>
      <c r="H23" s="300"/>
      <c r="J23" s="24" t="s">
        <v>6</v>
      </c>
      <c r="K23" s="34">
        <f t="shared" si="3"/>
        <v>247.43589743589743</v>
      </c>
      <c r="L23" s="35" t="str">
        <f t="shared" si="3"/>
        <v>-</v>
      </c>
      <c r="M23" s="53" t="str">
        <f t="shared" si="3"/>
        <v>-</v>
      </c>
      <c r="N23" s="301"/>
      <c r="O23" s="300"/>
    </row>
    <row r="24" spans="1:16" ht="13.5" thickBot="1">
      <c r="F24" s="54"/>
    </row>
    <row r="25" spans="1:16" s="42" customFormat="1">
      <c r="A25" s="86" t="s">
        <v>255</v>
      </c>
      <c r="D25" s="43" t="s">
        <v>128</v>
      </c>
      <c r="E25" s="43"/>
      <c r="F25" s="55"/>
      <c r="H25" s="86"/>
      <c r="K25" s="43" t="s">
        <v>128</v>
      </c>
      <c r="L25" s="43" t="s">
        <v>129</v>
      </c>
      <c r="M25" s="55" t="s">
        <v>130</v>
      </c>
    </row>
    <row r="26" spans="1:16" ht="5.25" customHeight="1" thickBot="1">
      <c r="F26" s="54"/>
      <c r="M26" s="54"/>
    </row>
    <row r="27" spans="1:16" ht="12.75" customHeight="1">
      <c r="C27" s="24" t="s">
        <v>9</v>
      </c>
      <c r="D27" s="208">
        <v>0.89</v>
      </c>
      <c r="E27" s="209">
        <v>0</v>
      </c>
      <c r="F27" s="210">
        <v>0</v>
      </c>
      <c r="G27" s="305" t="str">
        <f>"EOS pounds removed per '"&amp;E3&amp;"' of practice per year"</f>
        <v>EOS pounds removed per 'system' of practice per year</v>
      </c>
      <c r="H27" s="300"/>
      <c r="J27" s="24" t="s">
        <v>9</v>
      </c>
      <c r="K27" s="56">
        <v>0.89</v>
      </c>
      <c r="L27" s="209">
        <v>0</v>
      </c>
      <c r="M27" s="210">
        <v>0</v>
      </c>
      <c r="N27" s="299" t="str">
        <f>"delivered pounds removed per '"&amp;E3&amp;"' of practice per year"</f>
        <v>delivered pounds removed per 'system' of practice per year</v>
      </c>
      <c r="O27" s="300"/>
      <c r="P27" s="204"/>
    </row>
    <row r="28" spans="1:16">
      <c r="C28" s="24" t="s">
        <v>7</v>
      </c>
      <c r="D28" s="211">
        <v>0.82</v>
      </c>
      <c r="E28" s="212">
        <v>0</v>
      </c>
      <c r="F28" s="213">
        <v>0</v>
      </c>
      <c r="G28" s="301"/>
      <c r="H28" s="300"/>
      <c r="J28" s="24" t="s">
        <v>7</v>
      </c>
      <c r="K28" s="57">
        <v>0.81</v>
      </c>
      <c r="L28" s="212">
        <v>0</v>
      </c>
      <c r="M28" s="213">
        <v>0</v>
      </c>
      <c r="N28" s="301"/>
      <c r="O28" s="300"/>
      <c r="P28" s="204"/>
    </row>
    <row r="29" spans="1:16">
      <c r="C29" s="24" t="s">
        <v>8</v>
      </c>
      <c r="D29" s="211">
        <v>0.79</v>
      </c>
      <c r="E29" s="212">
        <v>0</v>
      </c>
      <c r="F29" s="213">
        <v>0</v>
      </c>
      <c r="G29" s="301"/>
      <c r="H29" s="300"/>
      <c r="J29" s="24" t="s">
        <v>8</v>
      </c>
      <c r="K29" s="57">
        <v>0.79</v>
      </c>
      <c r="L29" s="212">
        <v>0</v>
      </c>
      <c r="M29" s="213">
        <v>0</v>
      </c>
      <c r="N29" s="301"/>
      <c r="O29" s="300"/>
      <c r="P29" s="204"/>
    </row>
    <row r="30" spans="1:16" ht="13.5" thickBot="1">
      <c r="C30" s="24" t="s">
        <v>6</v>
      </c>
      <c r="D30" s="214">
        <v>0.78</v>
      </c>
      <c r="E30" s="215">
        <v>0</v>
      </c>
      <c r="F30" s="216">
        <v>0</v>
      </c>
      <c r="G30" s="301"/>
      <c r="H30" s="300"/>
      <c r="J30" s="24" t="s">
        <v>6</v>
      </c>
      <c r="K30" s="58">
        <v>0.78</v>
      </c>
      <c r="L30" s="215">
        <v>0</v>
      </c>
      <c r="M30" s="216">
        <v>0</v>
      </c>
      <c r="N30" s="301"/>
      <c r="O30" s="300"/>
      <c r="P30" s="204"/>
    </row>
    <row r="31" spans="1:16" ht="13.5" thickBot="1"/>
    <row r="32" spans="1:16" s="42" customFormat="1">
      <c r="A32" s="86" t="s">
        <v>1</v>
      </c>
    </row>
    <row r="33" spans="1:12" ht="5.25" customHeight="1" thickBot="1"/>
    <row r="34" spans="1:12" ht="13.5" thickBot="1">
      <c r="C34" s="24" t="s">
        <v>11</v>
      </c>
      <c r="D34" s="46">
        <f>-PMT(D39,D38,D36)+D37</f>
        <v>193</v>
      </c>
      <c r="E34" s="18" t="str">
        <f>"$ per '"&amp;E3&amp;"' of practice per year"</f>
        <v>$ per 'system' of practice per year</v>
      </c>
      <c r="I34" s="82" t="s">
        <v>169</v>
      </c>
      <c r="J34" s="217" t="s">
        <v>160</v>
      </c>
      <c r="K34" s="217"/>
      <c r="L34" s="219" t="s">
        <v>165</v>
      </c>
    </row>
    <row r="35" spans="1:12" ht="5.25" customHeight="1" thickBot="1">
      <c r="C35" s="24"/>
      <c r="D35" s="47"/>
      <c r="E35" s="18"/>
      <c r="I35" s="78"/>
      <c r="J35" s="220"/>
      <c r="K35" s="220"/>
      <c r="L35" s="221"/>
    </row>
    <row r="36" spans="1:12">
      <c r="C36" s="24" t="s">
        <v>10</v>
      </c>
      <c r="D36" s="38">
        <f>J36</f>
        <v>0</v>
      </c>
      <c r="E36" s="18" t="str">
        <f>"$ per '"&amp;E3&amp;"' of practice"</f>
        <v>$ per 'system' of practice</v>
      </c>
      <c r="I36" s="78" t="s">
        <v>162</v>
      </c>
      <c r="J36" s="235">
        <v>0</v>
      </c>
      <c r="K36" s="236"/>
      <c r="L36" s="237"/>
    </row>
    <row r="37" spans="1:12">
      <c r="C37" s="24" t="s">
        <v>12</v>
      </c>
      <c r="D37" s="39">
        <f>J37</f>
        <v>193</v>
      </c>
      <c r="E37" s="18" t="str">
        <f>"$ per '"&amp;E3&amp;"' of practice per year"</f>
        <v>$ per 'system' of practice per year</v>
      </c>
      <c r="I37" s="78" t="s">
        <v>161</v>
      </c>
      <c r="J37" s="235">
        <v>193</v>
      </c>
      <c r="K37" s="236"/>
      <c r="L37" s="237"/>
    </row>
    <row r="38" spans="1:12">
      <c r="C38" s="24" t="s">
        <v>13</v>
      </c>
      <c r="D38" s="40">
        <f>J38</f>
        <v>1</v>
      </c>
      <c r="E38" s="18" t="s">
        <v>15</v>
      </c>
      <c r="I38" s="78" t="s">
        <v>163</v>
      </c>
      <c r="J38" s="244">
        <v>1</v>
      </c>
      <c r="K38" s="245"/>
      <c r="L38" s="246"/>
    </row>
    <row r="39" spans="1:12" ht="13.5" thickBot="1">
      <c r="C39" s="24" t="s">
        <v>14</v>
      </c>
      <c r="D39" s="41">
        <f>Summary!C35</f>
        <v>0</v>
      </c>
      <c r="E39" s="18" t="s">
        <v>16</v>
      </c>
      <c r="I39" s="80" t="s">
        <v>166</v>
      </c>
      <c r="J39" s="238">
        <f>J37</f>
        <v>193</v>
      </c>
      <c r="K39" s="239"/>
      <c r="L39" s="240"/>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52.xml><?xml version="1.0" encoding="utf-8"?>
<worksheet xmlns="http://schemas.openxmlformats.org/spreadsheetml/2006/main" xmlns:r="http://schemas.openxmlformats.org/officeDocument/2006/relationships">
  <sheetPr codeName="Sheet38"/>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Septic Pumping ― 1,000 feet of stream</v>
      </c>
      <c r="I1" s="22"/>
      <c r="J1" s="37" t="s">
        <v>135</v>
      </c>
      <c r="K1" s="50" t="s">
        <v>155</v>
      </c>
      <c r="L1" s="22"/>
      <c r="M1" s="22"/>
      <c r="N1" s="22"/>
      <c r="O1" s="22"/>
      <c r="P1" s="22"/>
      <c r="Q1" s="22"/>
      <c r="R1" s="22"/>
    </row>
    <row r="2" spans="1:19" s="20" customFormat="1" ht="12.75" customHeight="1">
      <c r="D2" s="48" t="s">
        <v>3</v>
      </c>
      <c r="E2" s="19" t="str">
        <f>VLOOKUP($K$1,'BMP info'!A:G,4,FALSE)</f>
        <v>SepticPump</v>
      </c>
      <c r="I2" s="23"/>
      <c r="L2" s="23"/>
      <c r="M2" s="23"/>
      <c r="N2" s="23"/>
      <c r="O2" s="23"/>
      <c r="P2" s="23"/>
      <c r="Q2" s="23"/>
      <c r="R2" s="23"/>
      <c r="S2" s="23"/>
    </row>
    <row r="3" spans="1:19" s="20" customFormat="1" ht="12.75" customHeight="1">
      <c r="D3" s="48" t="s">
        <v>79</v>
      </c>
      <c r="E3" s="19" t="str">
        <f>VLOOKUP($K$1,'BMP info'!A:G,5,FALSE)</f>
        <v>system</v>
      </c>
      <c r="I3" s="23"/>
      <c r="K3" s="49"/>
      <c r="L3" s="23"/>
      <c r="M3" s="23"/>
      <c r="N3" s="23"/>
      <c r="O3" s="23"/>
      <c r="P3" s="23"/>
      <c r="Q3" s="23"/>
      <c r="R3" s="23"/>
      <c r="S3" s="23"/>
    </row>
    <row r="4" spans="1:19" s="20" customFormat="1" ht="12.75" customHeight="1">
      <c r="D4" s="48" t="s">
        <v>170</v>
      </c>
      <c r="E4" s="19" t="str">
        <f>VLOOKUP($K$1,'BMP info'!A:G,6,FALSE)</f>
        <v>septic</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2.9015544041450778</v>
      </c>
      <c r="E13" s="29" t="str">
        <f t="shared" si="0"/>
        <v>-</v>
      </c>
      <c r="F13" s="51" t="str">
        <f t="shared" si="0"/>
        <v>-</v>
      </c>
      <c r="G13" s="305" t="s">
        <v>254</v>
      </c>
      <c r="H13" s="300"/>
      <c r="J13" s="24" t="s">
        <v>9</v>
      </c>
      <c r="K13" s="28">
        <f t="shared" ref="K13:M16" si="1">IF(K27*$D$34=0,"-",1000*K27/$D$34)</f>
        <v>2.9015544041450778</v>
      </c>
      <c r="L13" s="29" t="str">
        <f t="shared" si="1"/>
        <v>-</v>
      </c>
      <c r="M13" s="51" t="str">
        <f t="shared" si="1"/>
        <v>-</v>
      </c>
      <c r="N13" s="305" t="s">
        <v>133</v>
      </c>
      <c r="O13" s="300"/>
    </row>
    <row r="14" spans="1:19">
      <c r="C14" s="24" t="s">
        <v>7</v>
      </c>
      <c r="D14" s="31">
        <f t="shared" si="0"/>
        <v>2.6943005181347148</v>
      </c>
      <c r="E14" s="32" t="str">
        <f t="shared" si="0"/>
        <v>-</v>
      </c>
      <c r="F14" s="52" t="str">
        <f t="shared" si="0"/>
        <v>-</v>
      </c>
      <c r="G14" s="301"/>
      <c r="H14" s="300"/>
      <c r="J14" s="24" t="s">
        <v>7</v>
      </c>
      <c r="K14" s="31">
        <f t="shared" si="1"/>
        <v>2.4870466321243523</v>
      </c>
      <c r="L14" s="32" t="str">
        <f t="shared" si="1"/>
        <v>-</v>
      </c>
      <c r="M14" s="52" t="str">
        <f t="shared" si="1"/>
        <v>-</v>
      </c>
      <c r="N14" s="301"/>
      <c r="O14" s="300"/>
    </row>
    <row r="15" spans="1:19">
      <c r="C15" s="24" t="s">
        <v>8</v>
      </c>
      <c r="D15" s="31">
        <f t="shared" si="0"/>
        <v>2.6424870466321244</v>
      </c>
      <c r="E15" s="32" t="str">
        <f t="shared" si="0"/>
        <v>-</v>
      </c>
      <c r="F15" s="52" t="str">
        <f t="shared" si="0"/>
        <v>-</v>
      </c>
      <c r="G15" s="301"/>
      <c r="H15" s="300"/>
      <c r="J15" s="24" t="s">
        <v>8</v>
      </c>
      <c r="K15" s="31">
        <f t="shared" si="1"/>
        <v>2.5906735751295336</v>
      </c>
      <c r="L15" s="32" t="str">
        <f t="shared" si="1"/>
        <v>-</v>
      </c>
      <c r="M15" s="52" t="str">
        <f t="shared" si="1"/>
        <v>-</v>
      </c>
      <c r="N15" s="301"/>
      <c r="O15" s="300"/>
    </row>
    <row r="16" spans="1:19" ht="13.5" thickBot="1">
      <c r="C16" s="24" t="s">
        <v>6</v>
      </c>
      <c r="D16" s="34">
        <f t="shared" si="0"/>
        <v>2.5388601036269431</v>
      </c>
      <c r="E16" s="35" t="str">
        <f t="shared" si="0"/>
        <v>-</v>
      </c>
      <c r="F16" s="53" t="str">
        <f t="shared" si="0"/>
        <v>-</v>
      </c>
      <c r="G16" s="301"/>
      <c r="H16" s="300"/>
      <c r="J16" s="24" t="s">
        <v>6</v>
      </c>
      <c r="K16" s="34">
        <f t="shared" si="1"/>
        <v>1.9689119170984455</v>
      </c>
      <c r="L16" s="35" t="str">
        <f t="shared" si="1"/>
        <v>-</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344.64285714285711</v>
      </c>
      <c r="E20" s="29" t="str">
        <f t="shared" si="2"/>
        <v>-</v>
      </c>
      <c r="F20" s="51" t="str">
        <f t="shared" si="2"/>
        <v>-</v>
      </c>
      <c r="G20" s="305" t="s">
        <v>253</v>
      </c>
      <c r="H20" s="300"/>
      <c r="J20" s="24" t="s">
        <v>9</v>
      </c>
      <c r="K20" s="28">
        <f t="shared" ref="K20:M23" si="3">IF(K27=0,"-",$D$34/K27)</f>
        <v>344.64285714285711</v>
      </c>
      <c r="L20" s="29" t="str">
        <f t="shared" si="3"/>
        <v>-</v>
      </c>
      <c r="M20" s="51" t="str">
        <f t="shared" si="3"/>
        <v>-</v>
      </c>
      <c r="N20" s="305" t="s">
        <v>132</v>
      </c>
      <c r="O20" s="300"/>
    </row>
    <row r="21" spans="1:16">
      <c r="C21" s="24" t="s">
        <v>7</v>
      </c>
      <c r="D21" s="31">
        <f t="shared" si="2"/>
        <v>371.15384615384613</v>
      </c>
      <c r="E21" s="32" t="str">
        <f t="shared" si="2"/>
        <v>-</v>
      </c>
      <c r="F21" s="52" t="str">
        <f t="shared" si="2"/>
        <v>-</v>
      </c>
      <c r="G21" s="301"/>
      <c r="H21" s="300"/>
      <c r="J21" s="24" t="s">
        <v>7</v>
      </c>
      <c r="K21" s="31">
        <f t="shared" si="3"/>
        <v>402.08333333333337</v>
      </c>
      <c r="L21" s="32" t="str">
        <f t="shared" si="3"/>
        <v>-</v>
      </c>
      <c r="M21" s="52" t="str">
        <f t="shared" si="3"/>
        <v>-</v>
      </c>
      <c r="N21" s="301"/>
      <c r="O21" s="300"/>
    </row>
    <row r="22" spans="1:16">
      <c r="C22" s="24" t="s">
        <v>8</v>
      </c>
      <c r="D22" s="31">
        <f t="shared" si="2"/>
        <v>378.43137254901961</v>
      </c>
      <c r="E22" s="32" t="str">
        <f t="shared" si="2"/>
        <v>-</v>
      </c>
      <c r="F22" s="52" t="str">
        <f t="shared" si="2"/>
        <v>-</v>
      </c>
      <c r="G22" s="301"/>
      <c r="H22" s="300"/>
      <c r="J22" s="24" t="s">
        <v>8</v>
      </c>
      <c r="K22" s="31">
        <f t="shared" si="3"/>
        <v>386</v>
      </c>
      <c r="L22" s="32" t="str">
        <f t="shared" si="3"/>
        <v>-</v>
      </c>
      <c r="M22" s="52" t="str">
        <f t="shared" si="3"/>
        <v>-</v>
      </c>
      <c r="N22" s="301"/>
      <c r="O22" s="300"/>
    </row>
    <row r="23" spans="1:16" ht="13.5" thickBot="1">
      <c r="C23" s="24" t="s">
        <v>6</v>
      </c>
      <c r="D23" s="34">
        <f t="shared" si="2"/>
        <v>393.87755102040819</v>
      </c>
      <c r="E23" s="35" t="str">
        <f t="shared" si="2"/>
        <v>-</v>
      </c>
      <c r="F23" s="53" t="str">
        <f t="shared" si="2"/>
        <v>-</v>
      </c>
      <c r="G23" s="301"/>
      <c r="H23" s="300"/>
      <c r="J23" s="24" t="s">
        <v>6</v>
      </c>
      <c r="K23" s="34">
        <f t="shared" si="3"/>
        <v>507.89473684210526</v>
      </c>
      <c r="L23" s="35" t="str">
        <f t="shared" si="3"/>
        <v>-</v>
      </c>
      <c r="M23" s="53" t="str">
        <f t="shared" si="3"/>
        <v>-</v>
      </c>
      <c r="N23" s="301"/>
      <c r="O23" s="300"/>
    </row>
    <row r="24" spans="1:16" ht="13.5" thickBot="1">
      <c r="F24" s="54"/>
    </row>
    <row r="25" spans="1:16" s="42" customFormat="1">
      <c r="A25" s="86" t="s">
        <v>255</v>
      </c>
      <c r="D25" s="43" t="s">
        <v>128</v>
      </c>
      <c r="E25" s="43"/>
      <c r="F25" s="55"/>
      <c r="H25" s="86"/>
      <c r="K25" s="43" t="s">
        <v>128</v>
      </c>
      <c r="L25" s="43" t="s">
        <v>129</v>
      </c>
      <c r="M25" s="55" t="s">
        <v>130</v>
      </c>
    </row>
    <row r="26" spans="1:16" ht="5.25" customHeight="1" thickBot="1">
      <c r="F26" s="54"/>
      <c r="M26" s="54"/>
    </row>
    <row r="27" spans="1:16" ht="12.75" customHeight="1">
      <c r="C27" s="24" t="s">
        <v>9</v>
      </c>
      <c r="D27" s="208">
        <v>0.56000000000000005</v>
      </c>
      <c r="E27" s="209">
        <v>0</v>
      </c>
      <c r="F27" s="210">
        <v>0</v>
      </c>
      <c r="G27" s="305" t="str">
        <f>"EOS pounds removed per '"&amp;E3&amp;"' of practice per year"</f>
        <v>EOS pounds removed per 'system' of practice per year</v>
      </c>
      <c r="H27" s="300"/>
      <c r="J27" s="24" t="s">
        <v>9</v>
      </c>
      <c r="K27" s="56">
        <v>0.56000000000000005</v>
      </c>
      <c r="L27" s="209">
        <v>0</v>
      </c>
      <c r="M27" s="210">
        <v>0</v>
      </c>
      <c r="N27" s="299" t="str">
        <f>"delivered pounds removed per '"&amp;E3&amp;"' of practice per year"</f>
        <v>delivered pounds removed per 'system' of practice per year</v>
      </c>
      <c r="O27" s="300"/>
      <c r="P27" s="204"/>
    </row>
    <row r="28" spans="1:16">
      <c r="C28" s="24" t="s">
        <v>7</v>
      </c>
      <c r="D28" s="211">
        <v>0.52</v>
      </c>
      <c r="E28" s="212">
        <v>0</v>
      </c>
      <c r="F28" s="213">
        <v>0</v>
      </c>
      <c r="G28" s="301"/>
      <c r="H28" s="300"/>
      <c r="J28" s="24" t="s">
        <v>7</v>
      </c>
      <c r="K28" s="57">
        <v>0.48</v>
      </c>
      <c r="L28" s="212">
        <v>0</v>
      </c>
      <c r="M28" s="213">
        <v>0</v>
      </c>
      <c r="N28" s="301"/>
      <c r="O28" s="300"/>
      <c r="P28" s="204"/>
    </row>
    <row r="29" spans="1:16">
      <c r="C29" s="24" t="s">
        <v>8</v>
      </c>
      <c r="D29" s="211">
        <v>0.51</v>
      </c>
      <c r="E29" s="212">
        <v>0</v>
      </c>
      <c r="F29" s="213">
        <v>0</v>
      </c>
      <c r="G29" s="301"/>
      <c r="H29" s="300"/>
      <c r="J29" s="24" t="s">
        <v>8</v>
      </c>
      <c r="K29" s="57">
        <v>0.5</v>
      </c>
      <c r="L29" s="212">
        <v>0</v>
      </c>
      <c r="M29" s="213">
        <v>0</v>
      </c>
      <c r="N29" s="301"/>
      <c r="O29" s="300"/>
      <c r="P29" s="204"/>
    </row>
    <row r="30" spans="1:16" ht="13.5" thickBot="1">
      <c r="C30" s="24" t="s">
        <v>6</v>
      </c>
      <c r="D30" s="214">
        <v>0.49</v>
      </c>
      <c r="E30" s="215">
        <v>0</v>
      </c>
      <c r="F30" s="216">
        <v>0</v>
      </c>
      <c r="G30" s="301"/>
      <c r="H30" s="300"/>
      <c r="J30" s="24" t="s">
        <v>6</v>
      </c>
      <c r="K30" s="58">
        <v>0.38</v>
      </c>
      <c r="L30" s="215">
        <v>0</v>
      </c>
      <c r="M30" s="216">
        <v>0</v>
      </c>
      <c r="N30" s="301"/>
      <c r="O30" s="300"/>
      <c r="P30" s="204"/>
    </row>
    <row r="31" spans="1:16" ht="13.5" thickBot="1"/>
    <row r="32" spans="1:16" s="42" customFormat="1">
      <c r="A32" s="86" t="s">
        <v>1</v>
      </c>
    </row>
    <row r="33" spans="1:12" ht="5.25" customHeight="1" thickBot="1"/>
    <row r="34" spans="1:12" ht="13.5" thickBot="1">
      <c r="C34" s="24" t="s">
        <v>11</v>
      </c>
      <c r="D34" s="46">
        <f>-PMT(D39,D38,D36)+D37</f>
        <v>193</v>
      </c>
      <c r="E34" s="18" t="str">
        <f>"$ per '"&amp;E3&amp;"' of practice per year"</f>
        <v>$ per 'system' of practice per year</v>
      </c>
      <c r="I34" s="82" t="s">
        <v>169</v>
      </c>
      <c r="J34" s="217" t="s">
        <v>160</v>
      </c>
      <c r="K34" s="217"/>
      <c r="L34" s="219" t="s">
        <v>165</v>
      </c>
    </row>
    <row r="35" spans="1:12" ht="5.25" customHeight="1" thickBot="1">
      <c r="C35" s="24"/>
      <c r="D35" s="47"/>
      <c r="E35" s="18"/>
      <c r="I35" s="78"/>
      <c r="J35" s="220"/>
      <c r="K35" s="220"/>
      <c r="L35" s="221"/>
    </row>
    <row r="36" spans="1:12">
      <c r="C36" s="24" t="s">
        <v>10</v>
      </c>
      <c r="D36" s="38">
        <f>J36</f>
        <v>0</v>
      </c>
      <c r="E36" s="18" t="str">
        <f>"$ per '"&amp;E3&amp;"' of practice"</f>
        <v>$ per 'system' of practice</v>
      </c>
      <c r="I36" s="78" t="s">
        <v>162</v>
      </c>
      <c r="J36" s="235">
        <v>0</v>
      </c>
      <c r="K36" s="236"/>
      <c r="L36" s="237"/>
    </row>
    <row r="37" spans="1:12">
      <c r="C37" s="24" t="s">
        <v>12</v>
      </c>
      <c r="D37" s="39">
        <f>J37</f>
        <v>193</v>
      </c>
      <c r="E37" s="18" t="str">
        <f>"$ per '"&amp;E3&amp;"' of practice per year"</f>
        <v>$ per 'system' of practice per year</v>
      </c>
      <c r="I37" s="78" t="s">
        <v>161</v>
      </c>
      <c r="J37" s="235">
        <v>193</v>
      </c>
      <c r="K37" s="236"/>
      <c r="L37" s="237"/>
    </row>
    <row r="38" spans="1:12">
      <c r="C38" s="24" t="s">
        <v>13</v>
      </c>
      <c r="D38" s="40">
        <f>J38</f>
        <v>1</v>
      </c>
      <c r="E38" s="18" t="s">
        <v>15</v>
      </c>
      <c r="I38" s="78" t="s">
        <v>163</v>
      </c>
      <c r="J38" s="244">
        <v>1</v>
      </c>
      <c r="K38" s="245"/>
      <c r="L38" s="246"/>
    </row>
    <row r="39" spans="1:12" ht="13.5" thickBot="1">
      <c r="C39" s="24" t="s">
        <v>14</v>
      </c>
      <c r="D39" s="41">
        <f>Summary!C35</f>
        <v>0</v>
      </c>
      <c r="E39" s="18" t="s">
        <v>16</v>
      </c>
      <c r="I39" s="80" t="s">
        <v>166</v>
      </c>
      <c r="J39" s="238">
        <f>J37</f>
        <v>193</v>
      </c>
      <c r="K39" s="239"/>
      <c r="L39" s="240"/>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53.xml><?xml version="1.0" encoding="utf-8"?>
<worksheet xmlns="http://schemas.openxmlformats.org/spreadsheetml/2006/main" xmlns:r="http://schemas.openxmlformats.org/officeDocument/2006/relationships">
  <sheetPr codeName="Sheet39"/>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Septic Pumping ― other</v>
      </c>
      <c r="I1" s="22"/>
      <c r="J1" s="37" t="s">
        <v>135</v>
      </c>
      <c r="K1" s="50" t="s">
        <v>156</v>
      </c>
      <c r="L1" s="22"/>
      <c r="M1" s="22"/>
      <c r="N1" s="22"/>
      <c r="O1" s="22"/>
      <c r="P1" s="22"/>
      <c r="Q1" s="22"/>
      <c r="R1" s="22"/>
    </row>
    <row r="2" spans="1:19" s="20" customFormat="1" ht="12.75" customHeight="1">
      <c r="D2" s="48" t="s">
        <v>3</v>
      </c>
      <c r="E2" s="19" t="str">
        <f>VLOOKUP($K$1,'BMP info'!A:G,4,FALSE)</f>
        <v>SepticPump</v>
      </c>
      <c r="I2" s="23"/>
      <c r="L2" s="23"/>
      <c r="M2" s="23"/>
      <c r="N2" s="23"/>
      <c r="O2" s="23"/>
      <c r="P2" s="23"/>
      <c r="Q2" s="23"/>
      <c r="R2" s="23"/>
      <c r="S2" s="23"/>
    </row>
    <row r="3" spans="1:19" s="20" customFormat="1" ht="12.75" customHeight="1">
      <c r="D3" s="48" t="s">
        <v>79</v>
      </c>
      <c r="E3" s="19" t="str">
        <f>VLOOKUP($K$1,'BMP info'!A:G,5,FALSE)</f>
        <v>system</v>
      </c>
      <c r="I3" s="23"/>
      <c r="K3" s="49"/>
      <c r="L3" s="23"/>
      <c r="M3" s="23"/>
      <c r="N3" s="23"/>
      <c r="O3" s="23"/>
      <c r="P3" s="23"/>
      <c r="Q3" s="23"/>
      <c r="R3" s="23"/>
      <c r="S3" s="23"/>
    </row>
    <row r="4" spans="1:19" s="20" customFormat="1" ht="12.75" customHeight="1">
      <c r="D4" s="48" t="s">
        <v>170</v>
      </c>
      <c r="E4" s="19" t="str">
        <f>VLOOKUP($K$1,'BMP info'!A:G,6,FALSE)</f>
        <v>septic</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1.7098445595854923</v>
      </c>
      <c r="E13" s="29" t="str">
        <f t="shared" si="0"/>
        <v>-</v>
      </c>
      <c r="F13" s="51" t="str">
        <f t="shared" si="0"/>
        <v>-</v>
      </c>
      <c r="G13" s="305" t="s">
        <v>254</v>
      </c>
      <c r="H13" s="300"/>
      <c r="J13" s="24" t="s">
        <v>9</v>
      </c>
      <c r="K13" s="28">
        <f t="shared" ref="K13:M16" si="1">IF(K27*$D$34=0,"-",1000*K27/$D$34)</f>
        <v>1.7098445595854923</v>
      </c>
      <c r="L13" s="29" t="str">
        <f t="shared" si="1"/>
        <v>-</v>
      </c>
      <c r="M13" s="51" t="str">
        <f t="shared" si="1"/>
        <v>-</v>
      </c>
      <c r="N13" s="305" t="s">
        <v>133</v>
      </c>
      <c r="O13" s="300"/>
    </row>
    <row r="14" spans="1:19">
      <c r="C14" s="24" t="s">
        <v>7</v>
      </c>
      <c r="D14" s="31">
        <f t="shared" si="0"/>
        <v>1.6062176165803108</v>
      </c>
      <c r="E14" s="32" t="str">
        <f t="shared" si="0"/>
        <v>-</v>
      </c>
      <c r="F14" s="52" t="str">
        <f t="shared" si="0"/>
        <v>-</v>
      </c>
      <c r="G14" s="301"/>
      <c r="H14" s="300"/>
      <c r="J14" s="24" t="s">
        <v>7</v>
      </c>
      <c r="K14" s="31">
        <f t="shared" si="1"/>
        <v>1.5025906735751295</v>
      </c>
      <c r="L14" s="32" t="str">
        <f t="shared" si="1"/>
        <v>-</v>
      </c>
      <c r="M14" s="52" t="str">
        <f t="shared" si="1"/>
        <v>-</v>
      </c>
      <c r="N14" s="301"/>
      <c r="O14" s="300"/>
    </row>
    <row r="15" spans="1:19">
      <c r="C15" s="24" t="s">
        <v>8</v>
      </c>
      <c r="D15" s="31">
        <f t="shared" si="0"/>
        <v>1.5544041450777202</v>
      </c>
      <c r="E15" s="32" t="str">
        <f t="shared" si="0"/>
        <v>-</v>
      </c>
      <c r="F15" s="52" t="str">
        <f t="shared" si="0"/>
        <v>-</v>
      </c>
      <c r="G15" s="301"/>
      <c r="H15" s="300"/>
      <c r="J15" s="24" t="s">
        <v>8</v>
      </c>
      <c r="K15" s="31">
        <f t="shared" si="1"/>
        <v>1.5544041450777202</v>
      </c>
      <c r="L15" s="32" t="str">
        <f t="shared" si="1"/>
        <v>-</v>
      </c>
      <c r="M15" s="52" t="str">
        <f t="shared" si="1"/>
        <v>-</v>
      </c>
      <c r="N15" s="301"/>
      <c r="O15" s="300"/>
    </row>
    <row r="16" spans="1:19" ht="13.5" thickBot="1">
      <c r="C16" s="24" t="s">
        <v>6</v>
      </c>
      <c r="D16" s="34">
        <f t="shared" si="0"/>
        <v>1.5025906735751295</v>
      </c>
      <c r="E16" s="35" t="str">
        <f t="shared" si="0"/>
        <v>-</v>
      </c>
      <c r="F16" s="53" t="str">
        <f t="shared" si="0"/>
        <v>-</v>
      </c>
      <c r="G16" s="301"/>
      <c r="H16" s="300"/>
      <c r="J16" s="24" t="s">
        <v>6</v>
      </c>
      <c r="K16" s="34">
        <f t="shared" si="1"/>
        <v>1.1917098445595855</v>
      </c>
      <c r="L16" s="35" t="str">
        <f t="shared" si="1"/>
        <v>-</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584.84848484848487</v>
      </c>
      <c r="E20" s="29" t="str">
        <f t="shared" si="2"/>
        <v>-</v>
      </c>
      <c r="F20" s="51" t="str">
        <f t="shared" si="2"/>
        <v>-</v>
      </c>
      <c r="G20" s="305" t="s">
        <v>253</v>
      </c>
      <c r="H20" s="300"/>
      <c r="J20" s="24" t="s">
        <v>9</v>
      </c>
      <c r="K20" s="28">
        <f t="shared" ref="K20:M23" si="3">IF(K27=0,"-",$D$34/K27)</f>
        <v>584.84848484848487</v>
      </c>
      <c r="L20" s="29" t="str">
        <f t="shared" si="3"/>
        <v>-</v>
      </c>
      <c r="M20" s="51" t="str">
        <f t="shared" si="3"/>
        <v>-</v>
      </c>
      <c r="N20" s="305" t="s">
        <v>132</v>
      </c>
      <c r="O20" s="300"/>
    </row>
    <row r="21" spans="1:16">
      <c r="C21" s="24" t="s">
        <v>7</v>
      </c>
      <c r="D21" s="31">
        <f t="shared" si="2"/>
        <v>622.58064516129036</v>
      </c>
      <c r="E21" s="32" t="str">
        <f t="shared" si="2"/>
        <v>-</v>
      </c>
      <c r="F21" s="52" t="str">
        <f t="shared" si="2"/>
        <v>-</v>
      </c>
      <c r="G21" s="301"/>
      <c r="H21" s="300"/>
      <c r="J21" s="24" t="s">
        <v>7</v>
      </c>
      <c r="K21" s="31">
        <f t="shared" si="3"/>
        <v>665.51724137931035</v>
      </c>
      <c r="L21" s="32" t="str">
        <f t="shared" si="3"/>
        <v>-</v>
      </c>
      <c r="M21" s="52" t="str">
        <f t="shared" si="3"/>
        <v>-</v>
      </c>
      <c r="N21" s="301"/>
      <c r="O21" s="300"/>
    </row>
    <row r="22" spans="1:16">
      <c r="C22" s="24" t="s">
        <v>8</v>
      </c>
      <c r="D22" s="31">
        <f t="shared" si="2"/>
        <v>643.33333333333337</v>
      </c>
      <c r="E22" s="32" t="str">
        <f t="shared" si="2"/>
        <v>-</v>
      </c>
      <c r="F22" s="52" t="str">
        <f t="shared" si="2"/>
        <v>-</v>
      </c>
      <c r="G22" s="301"/>
      <c r="H22" s="300"/>
      <c r="J22" s="24" t="s">
        <v>8</v>
      </c>
      <c r="K22" s="31">
        <f t="shared" si="3"/>
        <v>643.33333333333337</v>
      </c>
      <c r="L22" s="32" t="str">
        <f t="shared" si="3"/>
        <v>-</v>
      </c>
      <c r="M22" s="52" t="str">
        <f t="shared" si="3"/>
        <v>-</v>
      </c>
      <c r="N22" s="301"/>
      <c r="O22" s="300"/>
    </row>
    <row r="23" spans="1:16" ht="13.5" thickBot="1">
      <c r="C23" s="24" t="s">
        <v>6</v>
      </c>
      <c r="D23" s="34">
        <f t="shared" si="2"/>
        <v>665.51724137931035</v>
      </c>
      <c r="E23" s="35" t="str">
        <f t="shared" si="2"/>
        <v>-</v>
      </c>
      <c r="F23" s="53" t="str">
        <f t="shared" si="2"/>
        <v>-</v>
      </c>
      <c r="G23" s="301"/>
      <c r="H23" s="300"/>
      <c r="J23" s="24" t="s">
        <v>6</v>
      </c>
      <c r="K23" s="34">
        <f t="shared" si="3"/>
        <v>839.13043478260863</v>
      </c>
      <c r="L23" s="35" t="str">
        <f t="shared" si="3"/>
        <v>-</v>
      </c>
      <c r="M23" s="53" t="str">
        <f t="shared" si="3"/>
        <v>-</v>
      </c>
      <c r="N23" s="301"/>
      <c r="O23" s="300"/>
    </row>
    <row r="24" spans="1:16" ht="13.5" thickBot="1">
      <c r="F24" s="54"/>
    </row>
    <row r="25" spans="1:16" s="42" customFormat="1">
      <c r="A25" s="86" t="s">
        <v>255</v>
      </c>
      <c r="D25" s="43" t="s">
        <v>128</v>
      </c>
      <c r="E25" s="43"/>
      <c r="F25" s="55"/>
      <c r="H25" s="86"/>
      <c r="K25" s="43" t="s">
        <v>128</v>
      </c>
      <c r="L25" s="43" t="s">
        <v>129</v>
      </c>
      <c r="M25" s="55" t="s">
        <v>130</v>
      </c>
    </row>
    <row r="26" spans="1:16" ht="5.25" customHeight="1" thickBot="1">
      <c r="F26" s="54"/>
      <c r="M26" s="54"/>
    </row>
    <row r="27" spans="1:16" ht="12.75" customHeight="1">
      <c r="C27" s="24" t="s">
        <v>9</v>
      </c>
      <c r="D27" s="208">
        <v>0.33</v>
      </c>
      <c r="E27" s="209">
        <v>0</v>
      </c>
      <c r="F27" s="210">
        <v>0</v>
      </c>
      <c r="G27" s="305" t="str">
        <f>"EOS pounds removed per '"&amp;E3&amp;"' of practice per year"</f>
        <v>EOS pounds removed per 'system' of practice per year</v>
      </c>
      <c r="H27" s="300"/>
      <c r="J27" s="24" t="s">
        <v>9</v>
      </c>
      <c r="K27" s="56">
        <v>0.33</v>
      </c>
      <c r="L27" s="209">
        <v>0</v>
      </c>
      <c r="M27" s="210">
        <v>0</v>
      </c>
      <c r="N27" s="299" t="str">
        <f>"delivered pounds removed per '"&amp;E3&amp;"' of practice per year"</f>
        <v>delivered pounds removed per 'system' of practice per year</v>
      </c>
      <c r="O27" s="300"/>
      <c r="P27" s="204"/>
    </row>
    <row r="28" spans="1:16">
      <c r="C28" s="24" t="s">
        <v>7</v>
      </c>
      <c r="D28" s="211">
        <v>0.31</v>
      </c>
      <c r="E28" s="212">
        <v>0</v>
      </c>
      <c r="F28" s="213">
        <v>0</v>
      </c>
      <c r="G28" s="301"/>
      <c r="H28" s="300"/>
      <c r="J28" s="24" t="s">
        <v>7</v>
      </c>
      <c r="K28" s="57">
        <v>0.28999999999999998</v>
      </c>
      <c r="L28" s="212">
        <v>0</v>
      </c>
      <c r="M28" s="213">
        <v>0</v>
      </c>
      <c r="N28" s="301"/>
      <c r="O28" s="300"/>
      <c r="P28" s="204"/>
    </row>
    <row r="29" spans="1:16">
      <c r="C29" s="24" t="s">
        <v>8</v>
      </c>
      <c r="D29" s="211">
        <v>0.3</v>
      </c>
      <c r="E29" s="212">
        <v>0</v>
      </c>
      <c r="F29" s="213">
        <v>0</v>
      </c>
      <c r="G29" s="301"/>
      <c r="H29" s="300"/>
      <c r="J29" s="24" t="s">
        <v>8</v>
      </c>
      <c r="K29" s="57">
        <v>0.3</v>
      </c>
      <c r="L29" s="212">
        <v>0</v>
      </c>
      <c r="M29" s="213">
        <v>0</v>
      </c>
      <c r="N29" s="301"/>
      <c r="O29" s="300"/>
      <c r="P29" s="204"/>
    </row>
    <row r="30" spans="1:16" ht="13.5" thickBot="1">
      <c r="C30" s="24" t="s">
        <v>6</v>
      </c>
      <c r="D30" s="214">
        <v>0.28999999999999998</v>
      </c>
      <c r="E30" s="215">
        <v>0</v>
      </c>
      <c r="F30" s="216">
        <v>0</v>
      </c>
      <c r="G30" s="301"/>
      <c r="H30" s="300"/>
      <c r="J30" s="24" t="s">
        <v>6</v>
      </c>
      <c r="K30" s="58">
        <v>0.23</v>
      </c>
      <c r="L30" s="215">
        <v>0</v>
      </c>
      <c r="M30" s="216">
        <v>0</v>
      </c>
      <c r="N30" s="301"/>
      <c r="O30" s="300"/>
      <c r="P30" s="204"/>
    </row>
    <row r="31" spans="1:16" ht="13.5" thickBot="1"/>
    <row r="32" spans="1:16" s="42" customFormat="1">
      <c r="A32" s="86" t="s">
        <v>1</v>
      </c>
    </row>
    <row r="33" spans="1:12" ht="5.25" customHeight="1" thickBot="1"/>
    <row r="34" spans="1:12" ht="13.5" thickBot="1">
      <c r="C34" s="24" t="s">
        <v>11</v>
      </c>
      <c r="D34" s="46">
        <f>-PMT(D39,D38,D36)+D37</f>
        <v>193</v>
      </c>
      <c r="E34" s="18" t="str">
        <f>"$ per '"&amp;E3&amp;"' of practice per year"</f>
        <v>$ per 'system' of practice per year</v>
      </c>
      <c r="I34" s="82" t="s">
        <v>169</v>
      </c>
      <c r="J34" s="217" t="s">
        <v>160</v>
      </c>
      <c r="K34" s="217"/>
      <c r="L34" s="219" t="s">
        <v>165</v>
      </c>
    </row>
    <row r="35" spans="1:12" ht="5.25" customHeight="1" thickBot="1">
      <c r="C35" s="24"/>
      <c r="D35" s="47"/>
      <c r="E35" s="18"/>
      <c r="I35" s="78"/>
      <c r="J35" s="220"/>
      <c r="K35" s="220"/>
      <c r="L35" s="221"/>
    </row>
    <row r="36" spans="1:12">
      <c r="C36" s="24" t="s">
        <v>10</v>
      </c>
      <c r="D36" s="38">
        <f>J36</f>
        <v>0</v>
      </c>
      <c r="E36" s="18" t="str">
        <f>"$ per '"&amp;E3&amp;"' of practice"</f>
        <v>$ per 'system' of practice</v>
      </c>
      <c r="I36" s="78" t="s">
        <v>162</v>
      </c>
      <c r="J36" s="235">
        <v>0</v>
      </c>
      <c r="K36" s="236"/>
      <c r="L36" s="237"/>
    </row>
    <row r="37" spans="1:12">
      <c r="C37" s="24" t="s">
        <v>12</v>
      </c>
      <c r="D37" s="39">
        <f>J37</f>
        <v>193</v>
      </c>
      <c r="E37" s="18" t="str">
        <f>"$ per '"&amp;E3&amp;"' of practice per year"</f>
        <v>$ per 'system' of practice per year</v>
      </c>
      <c r="I37" s="78" t="s">
        <v>161</v>
      </c>
      <c r="J37" s="235">
        <v>193</v>
      </c>
      <c r="K37" s="236"/>
      <c r="L37" s="237"/>
    </row>
    <row r="38" spans="1:12">
      <c r="C38" s="24" t="s">
        <v>13</v>
      </c>
      <c r="D38" s="40">
        <f>J38</f>
        <v>1</v>
      </c>
      <c r="E38" s="18" t="s">
        <v>15</v>
      </c>
      <c r="I38" s="78" t="s">
        <v>163</v>
      </c>
      <c r="J38" s="244">
        <v>1</v>
      </c>
      <c r="K38" s="245"/>
      <c r="L38" s="246"/>
    </row>
    <row r="39" spans="1:12" ht="13.5" thickBot="1">
      <c r="C39" s="24" t="s">
        <v>14</v>
      </c>
      <c r="D39" s="41">
        <f>Summary!C35</f>
        <v>0</v>
      </c>
      <c r="E39" s="18" t="s">
        <v>16</v>
      </c>
      <c r="I39" s="80" t="s">
        <v>166</v>
      </c>
      <c r="J39" s="238">
        <f>J37</f>
        <v>193</v>
      </c>
      <c r="K39" s="239"/>
      <c r="L39" s="240"/>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54.xml><?xml version="1.0" encoding="utf-8"?>
<worksheet xmlns="http://schemas.openxmlformats.org/spreadsheetml/2006/main" xmlns:r="http://schemas.openxmlformats.org/officeDocument/2006/relationships">
  <sheetPr codeName="Sheet3"/>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Abandoned Mine Reclamation</v>
      </c>
      <c r="I1" s="22"/>
      <c r="J1" s="37" t="s">
        <v>135</v>
      </c>
      <c r="K1" s="50">
        <v>39</v>
      </c>
      <c r="L1" s="22"/>
      <c r="M1" s="22"/>
      <c r="N1" s="22"/>
      <c r="O1" s="22"/>
      <c r="P1" s="22"/>
      <c r="Q1" s="22"/>
      <c r="R1" s="22"/>
    </row>
    <row r="2" spans="1:19" s="20" customFormat="1" ht="12.75" customHeight="1">
      <c r="D2" s="48" t="s">
        <v>3</v>
      </c>
      <c r="E2" s="19" t="str">
        <f>VLOOKUP($K$1,'BMP info'!A:G,4,FALSE)</f>
        <v>AbanMineRec</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landuse change</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t="str">
        <f t="shared" ref="D13:F16" si="0">IF(D27*$D$34=0,"-",1000*D27/$D$34)</f>
        <v>-</v>
      </c>
      <c r="E13" s="29" t="str">
        <f t="shared" si="0"/>
        <v>-</v>
      </c>
      <c r="F13" s="51" t="str">
        <f t="shared" si="0"/>
        <v>-</v>
      </c>
      <c r="G13" s="305" t="s">
        <v>254</v>
      </c>
      <c r="H13" s="300"/>
      <c r="J13" s="24" t="s">
        <v>9</v>
      </c>
      <c r="K13" s="28" t="str">
        <f t="shared" ref="K13:M16" si="1">IF(K27*$D$34=0,"-",1000*K27/$D$34)</f>
        <v>-</v>
      </c>
      <c r="L13" s="29" t="str">
        <f t="shared" si="1"/>
        <v>-</v>
      </c>
      <c r="M13" s="51" t="str">
        <f t="shared" si="1"/>
        <v>-</v>
      </c>
      <c r="N13" s="305" t="s">
        <v>133</v>
      </c>
      <c r="O13" s="300"/>
    </row>
    <row r="14" spans="1:19">
      <c r="C14" s="24" t="s">
        <v>7</v>
      </c>
      <c r="D14" s="31" t="str">
        <f t="shared" si="0"/>
        <v>-</v>
      </c>
      <c r="E14" s="32" t="str">
        <f t="shared" si="0"/>
        <v>-</v>
      </c>
      <c r="F14" s="52" t="str">
        <f t="shared" si="0"/>
        <v>-</v>
      </c>
      <c r="G14" s="301"/>
      <c r="H14" s="300"/>
      <c r="J14" s="24" t="s">
        <v>7</v>
      </c>
      <c r="K14" s="31" t="str">
        <f t="shared" si="1"/>
        <v>-</v>
      </c>
      <c r="L14" s="32" t="str">
        <f t="shared" si="1"/>
        <v>-</v>
      </c>
      <c r="M14" s="52" t="str">
        <f t="shared" si="1"/>
        <v>-</v>
      </c>
      <c r="N14" s="301"/>
      <c r="O14" s="300"/>
    </row>
    <row r="15" spans="1:19">
      <c r="C15" s="24" t="s">
        <v>8</v>
      </c>
      <c r="D15" s="31" t="str">
        <f t="shared" si="0"/>
        <v>-</v>
      </c>
      <c r="E15" s="32" t="str">
        <f t="shared" si="0"/>
        <v>-</v>
      </c>
      <c r="F15" s="52" t="str">
        <f t="shared" si="0"/>
        <v>-</v>
      </c>
      <c r="G15" s="301"/>
      <c r="H15" s="300"/>
      <c r="J15" s="24" t="s">
        <v>8</v>
      </c>
      <c r="K15" s="31" t="str">
        <f t="shared" si="1"/>
        <v>-</v>
      </c>
      <c r="L15" s="32" t="str">
        <f t="shared" si="1"/>
        <v>-</v>
      </c>
      <c r="M15" s="52" t="str">
        <f t="shared" si="1"/>
        <v>-</v>
      </c>
      <c r="N15" s="301"/>
      <c r="O15" s="300"/>
    </row>
    <row r="16" spans="1:19" ht="13.5" thickBot="1">
      <c r="C16" s="24" t="s">
        <v>6</v>
      </c>
      <c r="D16" s="34" t="str">
        <f t="shared" si="0"/>
        <v>-</v>
      </c>
      <c r="E16" s="35" t="str">
        <f t="shared" si="0"/>
        <v>-</v>
      </c>
      <c r="F16" s="53" t="str">
        <f t="shared" si="0"/>
        <v>-</v>
      </c>
      <c r="G16" s="301"/>
      <c r="H16" s="300"/>
      <c r="J16" s="24" t="s">
        <v>6</v>
      </c>
      <c r="K16" s="34" t="str">
        <f t="shared" si="1"/>
        <v>-</v>
      </c>
      <c r="L16" s="35" t="str">
        <f t="shared" si="1"/>
        <v>-</v>
      </c>
      <c r="M16" s="53"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0</v>
      </c>
      <c r="E20" s="29">
        <f t="shared" si="2"/>
        <v>0</v>
      </c>
      <c r="F20" s="51">
        <f t="shared" si="2"/>
        <v>0</v>
      </c>
      <c r="G20" s="305" t="s">
        <v>253</v>
      </c>
      <c r="H20" s="300"/>
      <c r="J20" s="24" t="s">
        <v>9</v>
      </c>
      <c r="K20" s="28">
        <f t="shared" ref="K20:M23" si="3">IF(K27=0,"-",$D$34/K27)</f>
        <v>0</v>
      </c>
      <c r="L20" s="29">
        <f t="shared" si="3"/>
        <v>0</v>
      </c>
      <c r="M20" s="51">
        <f t="shared" si="3"/>
        <v>0</v>
      </c>
      <c r="N20" s="305" t="s">
        <v>132</v>
      </c>
      <c r="O20" s="300"/>
    </row>
    <row r="21" spans="1:16">
      <c r="C21" s="24" t="s">
        <v>7</v>
      </c>
      <c r="D21" s="31">
        <f t="shared" si="2"/>
        <v>0</v>
      </c>
      <c r="E21" s="32">
        <f t="shared" si="2"/>
        <v>0</v>
      </c>
      <c r="F21" s="52">
        <f t="shared" si="2"/>
        <v>0</v>
      </c>
      <c r="G21" s="301"/>
      <c r="H21" s="300"/>
      <c r="J21" s="24" t="s">
        <v>7</v>
      </c>
      <c r="K21" s="31">
        <f t="shared" si="3"/>
        <v>0</v>
      </c>
      <c r="L21" s="32">
        <f t="shared" si="3"/>
        <v>0</v>
      </c>
      <c r="M21" s="52">
        <f t="shared" si="3"/>
        <v>0</v>
      </c>
      <c r="N21" s="301"/>
      <c r="O21" s="300"/>
    </row>
    <row r="22" spans="1:16">
      <c r="C22" s="24" t="s">
        <v>8</v>
      </c>
      <c r="D22" s="31">
        <f t="shared" si="2"/>
        <v>0</v>
      </c>
      <c r="E22" s="32">
        <f t="shared" si="2"/>
        <v>0</v>
      </c>
      <c r="F22" s="52">
        <f t="shared" si="2"/>
        <v>0</v>
      </c>
      <c r="G22" s="301"/>
      <c r="H22" s="300"/>
      <c r="J22" s="24" t="s">
        <v>8</v>
      </c>
      <c r="K22" s="31">
        <f t="shared" si="3"/>
        <v>0</v>
      </c>
      <c r="L22" s="32">
        <f t="shared" si="3"/>
        <v>0</v>
      </c>
      <c r="M22" s="52">
        <f t="shared" si="3"/>
        <v>0</v>
      </c>
      <c r="N22" s="301"/>
      <c r="O22" s="300"/>
    </row>
    <row r="23" spans="1:16" ht="13.5" thickBot="1">
      <c r="C23" s="24" t="s">
        <v>6</v>
      </c>
      <c r="D23" s="34">
        <f t="shared" si="2"/>
        <v>0</v>
      </c>
      <c r="E23" s="35">
        <f t="shared" si="2"/>
        <v>0</v>
      </c>
      <c r="F23" s="53">
        <f t="shared" si="2"/>
        <v>0</v>
      </c>
      <c r="G23" s="301"/>
      <c r="H23" s="300"/>
      <c r="J23" s="24" t="s">
        <v>6</v>
      </c>
      <c r="K23" s="34">
        <f t="shared" si="3"/>
        <v>0</v>
      </c>
      <c r="L23" s="35">
        <f t="shared" si="3"/>
        <v>0</v>
      </c>
      <c r="M23" s="53">
        <f t="shared" si="3"/>
        <v>0</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22.737360307592752</v>
      </c>
      <c r="E27" s="209">
        <v>5.53458622300478</v>
      </c>
      <c r="F27" s="210">
        <v>4670.5207127979638</v>
      </c>
      <c r="G27" s="305" t="str">
        <f>"EOS pounds removed per '"&amp;E3&amp;"' of practice per year"</f>
        <v>EOS pounds removed per 'acre' of practice per year</v>
      </c>
      <c r="H27" s="300"/>
      <c r="J27" s="24" t="s">
        <v>9</v>
      </c>
      <c r="K27" s="56">
        <v>5.4260246278257593</v>
      </c>
      <c r="L27" s="209">
        <v>2.5964437244465022</v>
      </c>
      <c r="M27" s="210">
        <v>3025.9987502892855</v>
      </c>
      <c r="N27" s="299" t="str">
        <f>"delivered pounds removed per '"&amp;E3&amp;"' of practice per year"</f>
        <v>delivered pounds removed per 'acre' of practice per year</v>
      </c>
      <c r="O27" s="300"/>
      <c r="P27" s="204"/>
    </row>
    <row r="28" spans="1:16">
      <c r="C28" s="24" t="s">
        <v>7</v>
      </c>
      <c r="D28" s="211">
        <v>20.654539043641012</v>
      </c>
      <c r="E28" s="212">
        <v>5.1325341072445694</v>
      </c>
      <c r="F28" s="213">
        <v>3864.7608505790768</v>
      </c>
      <c r="G28" s="301"/>
      <c r="H28" s="300"/>
      <c r="J28" s="24" t="s">
        <v>7</v>
      </c>
      <c r="K28" s="57">
        <v>3.1618053106946236</v>
      </c>
      <c r="L28" s="212">
        <v>2.5868398925926934</v>
      </c>
      <c r="M28" s="213">
        <v>2745.746719466219</v>
      </c>
      <c r="N28" s="301"/>
      <c r="O28" s="300"/>
      <c r="P28" s="204"/>
    </row>
    <row r="29" spans="1:16">
      <c r="C29" s="24" t="s">
        <v>8</v>
      </c>
      <c r="D29" s="211">
        <v>22.737344750443604</v>
      </c>
      <c r="E29" s="212">
        <v>5.5345753297847731</v>
      </c>
      <c r="F29" s="213">
        <v>4670.5207127979638</v>
      </c>
      <c r="G29" s="301"/>
      <c r="H29" s="300"/>
      <c r="J29" s="24" t="s">
        <v>8</v>
      </c>
      <c r="K29" s="57">
        <v>2.1117488235747892</v>
      </c>
      <c r="L29" s="212">
        <v>2.5964437244465022</v>
      </c>
      <c r="M29" s="213">
        <v>3025.9987502892855</v>
      </c>
      <c r="N29" s="301"/>
      <c r="O29" s="300"/>
      <c r="P29" s="204"/>
    </row>
    <row r="30" spans="1:16" ht="13.5" thickBot="1">
      <c r="C30" s="24" t="s">
        <v>6</v>
      </c>
      <c r="D30" s="214">
        <v>7.3376217607057823</v>
      </c>
      <c r="E30" s="215">
        <v>2.5633155669913625</v>
      </c>
      <c r="F30" s="216">
        <v>1663.9968561697669</v>
      </c>
      <c r="G30" s="301"/>
      <c r="H30" s="300"/>
      <c r="J30" s="24" t="s">
        <v>6</v>
      </c>
      <c r="K30" s="58">
        <v>2.1117488235747892</v>
      </c>
      <c r="L30" s="215">
        <v>2.5632695834424948</v>
      </c>
      <c r="M30" s="216">
        <v>1704.7089007869486</v>
      </c>
      <c r="N30" s="301"/>
      <c r="O30" s="300"/>
      <c r="P30" s="204"/>
    </row>
    <row r="31" spans="1:16" ht="13.5" thickBot="1"/>
    <row r="32" spans="1:16" s="42" customFormat="1">
      <c r="A32" s="86" t="s">
        <v>1</v>
      </c>
    </row>
    <row r="33" spans="1:12" ht="5.25" customHeight="1" thickBot="1"/>
    <row r="34" spans="1:12" ht="13.5" thickBot="1">
      <c r="C34" s="24" t="s">
        <v>11</v>
      </c>
      <c r="D34" s="46">
        <f>-PMT(D39,D38,D36)+D37</f>
        <v>0</v>
      </c>
      <c r="E34" s="18" t="str">
        <f>"$ per '"&amp;E3&amp;"' of practice per year"</f>
        <v>$ per 'acre' of practice per year</v>
      </c>
      <c r="I34" s="82" t="s">
        <v>169</v>
      </c>
      <c r="J34" s="217" t="s">
        <v>160</v>
      </c>
      <c r="K34" s="218" t="s">
        <v>233</v>
      </c>
      <c r="L34" s="219" t="s">
        <v>165</v>
      </c>
    </row>
    <row r="35" spans="1:12" ht="5.25" customHeight="1" thickBot="1">
      <c r="C35" s="24"/>
      <c r="D35" s="47"/>
      <c r="E35" s="18"/>
      <c r="I35" s="78"/>
      <c r="J35" s="220"/>
      <c r="K35" s="220"/>
      <c r="L35" s="221"/>
    </row>
    <row r="36" spans="1:12">
      <c r="C36" s="24" t="s">
        <v>10</v>
      </c>
      <c r="D36" s="38"/>
      <c r="E36" s="18" t="str">
        <f>"$ per '"&amp;E3&amp;"' of practice"</f>
        <v>$ per 'acre' of practice</v>
      </c>
      <c r="I36" s="78" t="s">
        <v>162</v>
      </c>
      <c r="J36" s="236"/>
      <c r="K36" s="236"/>
      <c r="L36" s="237"/>
    </row>
    <row r="37" spans="1:12">
      <c r="C37" s="24" t="s">
        <v>12</v>
      </c>
      <c r="D37" s="39"/>
      <c r="E37" s="18" t="str">
        <f>"$ per '"&amp;E3&amp;"' of practice per year"</f>
        <v>$ per 'acre' of practice per year</v>
      </c>
      <c r="I37" s="78" t="s">
        <v>161</v>
      </c>
      <c r="J37" s="236"/>
      <c r="K37" s="236"/>
      <c r="L37" s="237"/>
    </row>
    <row r="38" spans="1:12">
      <c r="C38" s="24" t="s">
        <v>13</v>
      </c>
      <c r="D38" s="40">
        <v>20</v>
      </c>
      <c r="E38" s="18" t="s">
        <v>15</v>
      </c>
      <c r="I38" s="78" t="s">
        <v>163</v>
      </c>
      <c r="J38" s="245"/>
      <c r="K38" s="245"/>
      <c r="L38" s="246"/>
    </row>
    <row r="39" spans="1:12" ht="13.5" thickBot="1">
      <c r="C39" s="24" t="s">
        <v>14</v>
      </c>
      <c r="D39" s="41">
        <f>Summary!C35</f>
        <v>0</v>
      </c>
      <c r="E39" s="18" t="s">
        <v>16</v>
      </c>
      <c r="I39" s="80" t="s">
        <v>166</v>
      </c>
      <c r="J39" s="239"/>
      <c r="K39" s="239"/>
      <c r="L39" s="240"/>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55.xml><?xml version="1.0" encoding="utf-8"?>
<worksheet xmlns="http://schemas.openxmlformats.org/spreadsheetml/2006/main" xmlns:r="http://schemas.openxmlformats.org/officeDocument/2006/relationships">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1" style="17" bestFit="1" customWidth="1"/>
    <col min="13" max="16384" width="9.140625" style="17"/>
  </cols>
  <sheetData>
    <row r="1" spans="1:19" s="20" customFormat="1" ht="21" customHeight="1">
      <c r="A1" s="302" t="s">
        <v>136</v>
      </c>
      <c r="B1" s="303"/>
      <c r="D1" s="25" t="s">
        <v>134</v>
      </c>
      <c r="E1" s="89" t="str">
        <f>VLOOKUP($K$1,'BMP info'!A:G,3,FALSE)</f>
        <v>Bioretention/raingardens</v>
      </c>
      <c r="I1" s="22"/>
      <c r="J1" s="37" t="s">
        <v>135</v>
      </c>
      <c r="K1" s="50">
        <v>40</v>
      </c>
      <c r="L1" s="22"/>
      <c r="M1" s="22"/>
      <c r="N1" s="22"/>
      <c r="O1" s="22"/>
      <c r="P1" s="22"/>
      <c r="Q1" s="22"/>
      <c r="R1" s="22"/>
    </row>
    <row r="2" spans="1:19" s="20" customFormat="1" ht="12.75" customHeight="1">
      <c r="D2" s="48" t="s">
        <v>3</v>
      </c>
      <c r="E2" s="19" t="str">
        <f>VLOOKUP($K$1,'BMP info'!A:G,4,FALSE)</f>
        <v>BioRetUDAB</v>
      </c>
      <c r="I2" s="23"/>
      <c r="L2" s="23"/>
      <c r="M2" s="23"/>
      <c r="N2" s="23"/>
      <c r="O2" s="23"/>
      <c r="P2" s="23"/>
      <c r="Q2" s="23"/>
      <c r="R2" s="23"/>
      <c r="S2" s="23"/>
    </row>
    <row r="3" spans="1:19" s="20" customFormat="1" ht="12.75" customHeight="1">
      <c r="D3" s="48" t="s">
        <v>79</v>
      </c>
      <c r="E3" s="19" t="str">
        <f>VLOOKUP($K$1,'BMP info'!A:G,5,FALSE)</f>
        <v>acre treated</v>
      </c>
      <c r="I3" s="23"/>
      <c r="K3" s="49"/>
      <c r="L3" s="23"/>
      <c r="M3" s="23"/>
      <c r="N3" s="23"/>
      <c r="O3" s="23"/>
      <c r="P3" s="23"/>
      <c r="Q3" s="23"/>
      <c r="R3" s="23"/>
      <c r="S3" s="23"/>
    </row>
    <row r="4" spans="1:19" s="20" customFormat="1" ht="12.75" customHeight="1">
      <c r="D4" s="48" t="s">
        <v>170</v>
      </c>
      <c r="E4" s="19" t="str">
        <f>VLOOKUP($K$1,'BMP info'!A:G,6,FALSE)</f>
        <v>efficiency treated</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12.724338908145583</v>
      </c>
      <c r="E13" s="29">
        <f t="shared" si="0"/>
        <v>0.72598881956479877</v>
      </c>
      <c r="F13" s="51">
        <f t="shared" si="0"/>
        <v>794.65733400731767</v>
      </c>
      <c r="G13" s="305" t="s">
        <v>254</v>
      </c>
      <c r="H13" s="300"/>
      <c r="J13" s="24" t="s">
        <v>9</v>
      </c>
      <c r="K13" s="28">
        <f t="shared" ref="K13:M16" si="1">IF(K27*$D$34=0,"-",1000*K27/$D$34)</f>
        <v>6.5081938465241675</v>
      </c>
      <c r="L13" s="29">
        <f t="shared" si="1"/>
        <v>0.56778876083188901</v>
      </c>
      <c r="M13" s="51">
        <f t="shared" si="1"/>
        <v>766.76056547275186</v>
      </c>
      <c r="N13" s="305" t="s">
        <v>133</v>
      </c>
      <c r="O13" s="300"/>
    </row>
    <row r="14" spans="1:19">
      <c r="C14" s="24" t="s">
        <v>7</v>
      </c>
      <c r="D14" s="31">
        <f t="shared" si="0"/>
        <v>6.7697921374927796</v>
      </c>
      <c r="E14" s="32">
        <f t="shared" si="0"/>
        <v>0.48110996437512038</v>
      </c>
      <c r="F14" s="52">
        <f t="shared" si="0"/>
        <v>296.25314144040055</v>
      </c>
      <c r="G14" s="301"/>
      <c r="H14" s="300"/>
      <c r="J14" s="24" t="s">
        <v>7</v>
      </c>
      <c r="K14" s="31">
        <f t="shared" si="1"/>
        <v>4.7139995262853844</v>
      </c>
      <c r="L14" s="32">
        <f t="shared" si="1"/>
        <v>0.35327485942615061</v>
      </c>
      <c r="M14" s="52">
        <f t="shared" si="1"/>
        <v>317.79734093972661</v>
      </c>
      <c r="N14" s="301"/>
      <c r="O14" s="300"/>
    </row>
    <row r="15" spans="1:19">
      <c r="C15" s="24" t="s">
        <v>8</v>
      </c>
      <c r="D15" s="31">
        <f t="shared" si="0"/>
        <v>5.9829330512227994</v>
      </c>
      <c r="E15" s="32">
        <f t="shared" si="0"/>
        <v>0.41957600905064513</v>
      </c>
      <c r="F15" s="52">
        <f t="shared" si="0"/>
        <v>153.00988792605432</v>
      </c>
      <c r="G15" s="301"/>
      <c r="H15" s="300"/>
      <c r="J15" s="24" t="s">
        <v>8</v>
      </c>
      <c r="K15" s="31">
        <f t="shared" si="1"/>
        <v>4.0058649730406319</v>
      </c>
      <c r="L15" s="32">
        <f t="shared" si="1"/>
        <v>0.32956983439245141</v>
      </c>
      <c r="M15" s="52">
        <f t="shared" si="1"/>
        <v>146.94684633160026</v>
      </c>
      <c r="N15" s="301"/>
      <c r="O15" s="300"/>
    </row>
    <row r="16" spans="1:19" ht="13.5" thickBot="1">
      <c r="C16" s="24" t="s">
        <v>6</v>
      </c>
      <c r="D16" s="34">
        <f t="shared" si="0"/>
        <v>3.4594551405738496</v>
      </c>
      <c r="E16" s="35">
        <f t="shared" si="0"/>
        <v>0.2194501473136915</v>
      </c>
      <c r="F16" s="53">
        <f t="shared" si="0"/>
        <v>63.504264856537652</v>
      </c>
      <c r="G16" s="301"/>
      <c r="H16" s="300"/>
      <c r="J16" s="24" t="s">
        <v>6</v>
      </c>
      <c r="K16" s="34">
        <f t="shared" si="1"/>
        <v>2.5736402580396693</v>
      </c>
      <c r="L16" s="35">
        <f t="shared" si="1"/>
        <v>0.15874360100134799</v>
      </c>
      <c r="M16" s="53">
        <f t="shared" si="1"/>
        <v>49.038276506836127</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78.589544590001637</v>
      </c>
      <c r="E20" s="29">
        <f t="shared" si="2"/>
        <v>1377.4316808342307</v>
      </c>
      <c r="F20" s="51">
        <f t="shared" si="2"/>
        <v>1.2584040405908987</v>
      </c>
      <c r="G20" s="305" t="s">
        <v>253</v>
      </c>
      <c r="H20" s="300"/>
      <c r="J20" s="24" t="s">
        <v>9</v>
      </c>
      <c r="K20" s="28">
        <f t="shared" ref="K20:M23" si="3">IF(K27=0,"-",$D$34/K27)</f>
        <v>153.65246081815314</v>
      </c>
      <c r="L20" s="29">
        <f t="shared" si="3"/>
        <v>1761.2183772973274</v>
      </c>
      <c r="M20" s="51">
        <f t="shared" si="3"/>
        <v>1.3041880934284129</v>
      </c>
      <c r="N20" s="305" t="s">
        <v>132</v>
      </c>
      <c r="O20" s="300"/>
    </row>
    <row r="21" spans="1:16">
      <c r="C21" s="24" t="s">
        <v>7</v>
      </c>
      <c r="D21" s="31">
        <f t="shared" si="2"/>
        <v>147.7150228087142</v>
      </c>
      <c r="E21" s="32">
        <f t="shared" si="2"/>
        <v>2078.5268941557447</v>
      </c>
      <c r="F21" s="52">
        <f t="shared" si="2"/>
        <v>3.3754916323855335</v>
      </c>
      <c r="G21" s="301"/>
      <c r="H21" s="300"/>
      <c r="J21" s="24" t="s">
        <v>7</v>
      </c>
      <c r="K21" s="31">
        <f t="shared" si="3"/>
        <v>212.13409004900697</v>
      </c>
      <c r="L21" s="32">
        <f t="shared" si="3"/>
        <v>2830.6571308934094</v>
      </c>
      <c r="M21" s="52">
        <f t="shared" si="3"/>
        <v>3.1466594309537026</v>
      </c>
      <c r="N21" s="301"/>
      <c r="O21" s="300"/>
    </row>
    <row r="22" spans="1:16">
      <c r="C22" s="24" t="s">
        <v>8</v>
      </c>
      <c r="D22" s="31">
        <f t="shared" si="2"/>
        <v>167.14210094589285</v>
      </c>
      <c r="E22" s="32">
        <f t="shared" si="2"/>
        <v>2383.3583866309536</v>
      </c>
      <c r="F22" s="52">
        <f t="shared" si="2"/>
        <v>6.5355253412333321</v>
      </c>
      <c r="G22" s="301"/>
      <c r="H22" s="300"/>
      <c r="J22" s="24" t="s">
        <v>8</v>
      </c>
      <c r="K22" s="31">
        <f t="shared" si="3"/>
        <v>249.63397586538093</v>
      </c>
      <c r="L22" s="32">
        <f t="shared" si="3"/>
        <v>3034.2582835090457</v>
      </c>
      <c r="M22" s="52">
        <f t="shared" si="3"/>
        <v>6.8051817712603375</v>
      </c>
      <c r="N22" s="301"/>
      <c r="O22" s="300"/>
    </row>
    <row r="23" spans="1:16" ht="13.5" thickBot="1">
      <c r="C23" s="24" t="s">
        <v>6</v>
      </c>
      <c r="D23" s="34">
        <f t="shared" si="2"/>
        <v>289.06286087413213</v>
      </c>
      <c r="E23" s="35">
        <f t="shared" si="2"/>
        <v>4556.8436031649444</v>
      </c>
      <c r="F23" s="53">
        <f t="shared" si="2"/>
        <v>15.746973880559013</v>
      </c>
      <c r="G23" s="301"/>
      <c r="H23" s="300"/>
      <c r="J23" s="24" t="s">
        <v>6</v>
      </c>
      <c r="K23" s="34">
        <f t="shared" si="3"/>
        <v>388.55469286204584</v>
      </c>
      <c r="L23" s="35">
        <f t="shared" si="3"/>
        <v>6299.4665214348297</v>
      </c>
      <c r="M23" s="53">
        <f t="shared" si="3"/>
        <v>20.392233806597915</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13.21549839</v>
      </c>
      <c r="E27" s="209">
        <v>0.75401198800000002</v>
      </c>
      <c r="F27" s="210">
        <v>825.33110710000005</v>
      </c>
      <c r="G27" s="305" t="str">
        <f>"EOS pounds removed per '"&amp;E3&amp;"' of practice per year"</f>
        <v>EOS pounds removed per 'acre treated' of practice per year</v>
      </c>
      <c r="H27" s="300"/>
      <c r="J27" s="24" t="s">
        <v>9</v>
      </c>
      <c r="K27" s="56">
        <v>6.7594101289999999</v>
      </c>
      <c r="L27" s="209">
        <v>0.58970540699999996</v>
      </c>
      <c r="M27" s="210">
        <v>796.35752330000003</v>
      </c>
      <c r="N27" s="299" t="str">
        <f>"delivered pounds removed per '"&amp;E3&amp;"' of practice per year"</f>
        <v>delivered pounds removed per 'acre treated' of practice per year</v>
      </c>
      <c r="O27" s="300"/>
      <c r="P27" s="204"/>
    </row>
    <row r="28" spans="1:16">
      <c r="C28" s="24" t="s">
        <v>7</v>
      </c>
      <c r="D28" s="211">
        <v>7.031106114</v>
      </c>
      <c r="E28" s="212">
        <v>0.499680809</v>
      </c>
      <c r="F28" s="213">
        <v>307.68851269999999</v>
      </c>
      <c r="G28" s="301"/>
      <c r="H28" s="300"/>
      <c r="J28" s="24" t="s">
        <v>7</v>
      </c>
      <c r="K28" s="57">
        <v>4.895959908</v>
      </c>
      <c r="L28" s="212">
        <v>0.36691126899999998</v>
      </c>
      <c r="M28" s="213">
        <v>330.06431830000002</v>
      </c>
      <c r="N28" s="301"/>
      <c r="O28" s="300"/>
      <c r="P28" s="204"/>
    </row>
    <row r="29" spans="1:16">
      <c r="C29" s="24" t="s">
        <v>8</v>
      </c>
      <c r="D29" s="211">
        <v>6.2138742669999996</v>
      </c>
      <c r="E29" s="212">
        <v>0.43577164299999999</v>
      </c>
      <c r="F29" s="213">
        <v>158.91606959999999</v>
      </c>
      <c r="G29" s="301"/>
      <c r="H29" s="300"/>
      <c r="J29" s="24" t="s">
        <v>8</v>
      </c>
      <c r="K29" s="57">
        <v>4.1604913610000001</v>
      </c>
      <c r="L29" s="212">
        <v>0.34229123</v>
      </c>
      <c r="M29" s="213">
        <v>152.61899460000001</v>
      </c>
      <c r="N29" s="301"/>
      <c r="O29" s="300"/>
      <c r="P29" s="204"/>
    </row>
    <row r="30" spans="1:16" ht="13.5" thickBot="1">
      <c r="C30" s="24" t="s">
        <v>6</v>
      </c>
      <c r="D30" s="214">
        <v>3.592990109</v>
      </c>
      <c r="E30" s="215">
        <v>0.227920923</v>
      </c>
      <c r="F30" s="216">
        <v>65.955529479999996</v>
      </c>
      <c r="G30" s="301"/>
      <c r="H30" s="300"/>
      <c r="J30" s="24" t="s">
        <v>6</v>
      </c>
      <c r="K30" s="58">
        <v>2.6729827720000001</v>
      </c>
      <c r="L30" s="215">
        <v>0.16487110399999999</v>
      </c>
      <c r="M30" s="216">
        <v>50.931153979999998</v>
      </c>
      <c r="N30" s="301"/>
      <c r="O30" s="300"/>
      <c r="P30" s="204"/>
    </row>
    <row r="31" spans="1:16" ht="13.5" thickBot="1"/>
    <row r="32" spans="1:16" s="42" customFormat="1">
      <c r="A32" s="86" t="s">
        <v>1</v>
      </c>
    </row>
    <row r="33" spans="1:12" ht="5.25" customHeight="1" thickBot="1"/>
    <row r="34" spans="1:12" ht="13.5" thickBot="1">
      <c r="C34" s="24" t="s">
        <v>11</v>
      </c>
      <c r="D34" s="46">
        <f>-PMT(D39,D38,D36)+D37</f>
        <v>1038.5999999999999</v>
      </c>
      <c r="E34" s="18" t="str">
        <f>"$ per '"&amp;E3&amp;"' of practice per year"</f>
        <v>$ per 'acre treated' of practice per year</v>
      </c>
      <c r="I34" s="82" t="s">
        <v>169</v>
      </c>
      <c r="J34" s="217" t="s">
        <v>160</v>
      </c>
      <c r="K34" s="218" t="s">
        <v>233</v>
      </c>
      <c r="L34" s="219" t="s">
        <v>165</v>
      </c>
    </row>
    <row r="35" spans="1:12" ht="5.25" customHeight="1" thickBot="1">
      <c r="C35" s="24"/>
      <c r="D35" s="47"/>
      <c r="E35" s="18"/>
      <c r="I35" s="78"/>
      <c r="J35" s="220"/>
      <c r="K35" s="220"/>
      <c r="L35" s="221"/>
    </row>
    <row r="36" spans="1:12">
      <c r="C36" s="24" t="s">
        <v>10</v>
      </c>
      <c r="D36" s="38">
        <f>L36</f>
        <v>12132</v>
      </c>
      <c r="E36" s="18" t="str">
        <f>"$ per '"&amp;E3&amp;"' of practice"</f>
        <v>$ per 'acre treated' of practice</v>
      </c>
      <c r="I36" s="78" t="s">
        <v>162</v>
      </c>
      <c r="J36" s="236">
        <v>11795</v>
      </c>
      <c r="K36" s="236">
        <v>12469</v>
      </c>
      <c r="L36" s="241">
        <f>AVERAGE(J36:K36)</f>
        <v>12132</v>
      </c>
    </row>
    <row r="37" spans="1:12">
      <c r="C37" s="24" t="s">
        <v>12</v>
      </c>
      <c r="D37" s="39">
        <f>L37</f>
        <v>432</v>
      </c>
      <c r="E37" s="18" t="str">
        <f>"$ per '"&amp;E3&amp;"' of practice per year"</f>
        <v>$ per 'acre treated' of practice per year</v>
      </c>
      <c r="I37" s="78" t="s">
        <v>161</v>
      </c>
      <c r="J37" s="236">
        <v>481</v>
      </c>
      <c r="K37" s="236">
        <v>383</v>
      </c>
      <c r="L37" s="241">
        <f>AVERAGE(J37:K37)</f>
        <v>432</v>
      </c>
    </row>
    <row r="38" spans="1:12">
      <c r="C38" s="24" t="s">
        <v>13</v>
      </c>
      <c r="D38" s="40">
        <f>K38</f>
        <v>20</v>
      </c>
      <c r="E38" s="18" t="s">
        <v>15</v>
      </c>
      <c r="I38" s="78" t="s">
        <v>163</v>
      </c>
      <c r="J38" s="245">
        <v>20</v>
      </c>
      <c r="K38" s="245">
        <v>20</v>
      </c>
      <c r="L38" s="247">
        <v>20</v>
      </c>
    </row>
    <row r="39" spans="1:12" ht="13.5" thickBot="1">
      <c r="C39" s="24" t="s">
        <v>14</v>
      </c>
      <c r="D39" s="41">
        <f>Summary!C35</f>
        <v>0</v>
      </c>
      <c r="E39" s="18" t="s">
        <v>16</v>
      </c>
      <c r="I39" s="80" t="s">
        <v>166</v>
      </c>
      <c r="J39" s="239">
        <f>J37+(J36/J38)</f>
        <v>1070.75</v>
      </c>
      <c r="K39" s="239">
        <f>K37+(K36/K38)</f>
        <v>1006.45</v>
      </c>
      <c r="L39" s="242">
        <f>L37+(L36/L38)</f>
        <v>1038.5999999999999</v>
      </c>
    </row>
    <row r="40" spans="1:12">
      <c r="F40" s="234"/>
    </row>
    <row r="41" spans="1:12">
      <c r="I41" s="304" t="s">
        <v>279</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56.xml><?xml version="1.0" encoding="utf-8"?>
<worksheet xmlns="http://schemas.openxmlformats.org/spreadsheetml/2006/main" xmlns:r="http://schemas.openxmlformats.org/officeDocument/2006/relationships">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1" style="17" bestFit="1" customWidth="1"/>
    <col min="13" max="16384" width="9.140625" style="17"/>
  </cols>
  <sheetData>
    <row r="1" spans="1:19" s="20" customFormat="1" ht="21" customHeight="1">
      <c r="A1" s="302" t="s">
        <v>136</v>
      </c>
      <c r="B1" s="303"/>
      <c r="D1" s="25" t="s">
        <v>134</v>
      </c>
      <c r="E1" s="89" t="str">
        <f>VLOOKUP($K$1,'BMP info'!A:G,3,FALSE)</f>
        <v>Bioswale</v>
      </c>
      <c r="I1" s="22"/>
      <c r="J1" s="37" t="s">
        <v>135</v>
      </c>
      <c r="K1" s="50">
        <v>41</v>
      </c>
      <c r="L1" s="22"/>
      <c r="M1" s="22"/>
      <c r="N1" s="22"/>
      <c r="O1" s="22"/>
      <c r="P1" s="22"/>
      <c r="Q1" s="22"/>
      <c r="R1" s="22"/>
    </row>
    <row r="2" spans="1:19" s="20" customFormat="1" ht="12.75" customHeight="1">
      <c r="D2" s="48" t="s">
        <v>3</v>
      </c>
      <c r="E2" s="19" t="str">
        <f>VLOOKUP($K$1,'BMP info'!A:G,4,FALSE)</f>
        <v>BioSwale</v>
      </c>
      <c r="I2" s="23"/>
      <c r="L2" s="23"/>
      <c r="M2" s="23"/>
      <c r="N2" s="23"/>
      <c r="O2" s="23"/>
      <c r="P2" s="23"/>
      <c r="Q2" s="23"/>
      <c r="R2" s="23"/>
      <c r="S2" s="23"/>
    </row>
    <row r="3" spans="1:19" s="20" customFormat="1" ht="12.75" customHeight="1">
      <c r="D3" s="48" t="s">
        <v>79</v>
      </c>
      <c r="E3" s="19" t="str">
        <f>VLOOKUP($K$1,'BMP info'!A:G,5,FALSE)</f>
        <v>acre treated</v>
      </c>
      <c r="I3" s="23"/>
      <c r="K3" s="49"/>
      <c r="L3" s="23"/>
      <c r="M3" s="23"/>
      <c r="N3" s="23"/>
      <c r="O3" s="23"/>
      <c r="P3" s="23"/>
      <c r="Q3" s="23"/>
      <c r="R3" s="23"/>
      <c r="S3" s="23"/>
    </row>
    <row r="4" spans="1:19" s="20" customFormat="1" ht="12.75" customHeight="1">
      <c r="D4" s="48" t="s">
        <v>170</v>
      </c>
      <c r="E4" s="19" t="str">
        <f>VLOOKUP($K$1,'BMP info'!A:G,6,FALSE)</f>
        <v>efficiency treated</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16.078169569158256</v>
      </c>
      <c r="E13" s="29">
        <f t="shared" si="0"/>
        <v>1.3000620279170947</v>
      </c>
      <c r="F13" s="51">
        <f t="shared" si="0"/>
        <v>790.43615046226353</v>
      </c>
      <c r="G13" s="305" t="s">
        <v>254</v>
      </c>
      <c r="H13" s="300"/>
      <c r="J13" s="24" t="s">
        <v>9</v>
      </c>
      <c r="K13" s="28">
        <f t="shared" ref="K13:M16" si="1">IF(K27*$D$34=0,"-",1000*K27/$D$34)</f>
        <v>10.609648828327995</v>
      </c>
      <c r="L13" s="29">
        <f t="shared" si="1"/>
        <v>1.2851618212580822</v>
      </c>
      <c r="M13" s="51">
        <f t="shared" si="1"/>
        <v>918.72705408181764</v>
      </c>
      <c r="N13" s="305" t="s">
        <v>133</v>
      </c>
      <c r="O13" s="300"/>
    </row>
    <row r="14" spans="1:19">
      <c r="C14" s="24" t="s">
        <v>7</v>
      </c>
      <c r="D14" s="31">
        <f t="shared" si="0"/>
        <v>11.037518343102303</v>
      </c>
      <c r="E14" s="32">
        <f t="shared" si="0"/>
        <v>0.77434772735512725</v>
      </c>
      <c r="F14" s="52">
        <f t="shared" si="0"/>
        <v>403.48180627228226</v>
      </c>
      <c r="G14" s="301"/>
      <c r="H14" s="300"/>
      <c r="J14" s="24" t="s">
        <v>7</v>
      </c>
      <c r="K14" s="31">
        <f t="shared" si="1"/>
        <v>7.2000492488972139</v>
      </c>
      <c r="L14" s="32">
        <f t="shared" si="1"/>
        <v>0.53715664390597617</v>
      </c>
      <c r="M14" s="52">
        <f t="shared" si="1"/>
        <v>407.99058347936432</v>
      </c>
      <c r="N14" s="301"/>
      <c r="O14" s="300"/>
    </row>
    <row r="15" spans="1:19">
      <c r="C15" s="24" t="s">
        <v>8</v>
      </c>
      <c r="D15" s="31">
        <f t="shared" si="0"/>
        <v>8.9072761218200487</v>
      </c>
      <c r="E15" s="32">
        <f t="shared" si="0"/>
        <v>0.865887431264729</v>
      </c>
      <c r="F15" s="52">
        <f t="shared" si="0"/>
        <v>353.4169930509396</v>
      </c>
      <c r="G15" s="301"/>
      <c r="H15" s="300"/>
      <c r="J15" s="24" t="s">
        <v>8</v>
      </c>
      <c r="K15" s="31">
        <f t="shared" si="1"/>
        <v>7.2154411118496578</v>
      </c>
      <c r="L15" s="32">
        <f t="shared" si="1"/>
        <v>0.43464806574415371</v>
      </c>
      <c r="M15" s="52">
        <f t="shared" si="1"/>
        <v>315.6483876971418</v>
      </c>
      <c r="N15" s="301"/>
      <c r="O15" s="300"/>
    </row>
    <row r="16" spans="1:19" ht="13.5" thickBot="1">
      <c r="C16" s="24" t="s">
        <v>6</v>
      </c>
      <c r="D16" s="34">
        <f t="shared" si="0"/>
        <v>7.2107722871472593</v>
      </c>
      <c r="E16" s="35">
        <f t="shared" si="0"/>
        <v>0.38004408000483414</v>
      </c>
      <c r="F16" s="53">
        <f t="shared" si="0"/>
        <v>40.196835905492783</v>
      </c>
      <c r="G16" s="301"/>
      <c r="H16" s="300"/>
      <c r="J16" s="24" t="s">
        <v>6</v>
      </c>
      <c r="K16" s="34">
        <f t="shared" si="1"/>
        <v>3.2413446407637916</v>
      </c>
      <c r="L16" s="35">
        <f t="shared" si="1"/>
        <v>0.24152793280560755</v>
      </c>
      <c r="M16" s="53">
        <f t="shared" si="1"/>
        <v>40.196835905492783</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62.196134684276323</v>
      </c>
      <c r="E20" s="29">
        <f t="shared" si="2"/>
        <v>769.19406807239682</v>
      </c>
      <c r="F20" s="51">
        <f t="shared" si="2"/>
        <v>1.2651243233437377</v>
      </c>
      <c r="G20" s="305" t="s">
        <v>253</v>
      </c>
      <c r="H20" s="300"/>
      <c r="J20" s="24" t="s">
        <v>9</v>
      </c>
      <c r="K20" s="28">
        <f t="shared" ref="K20:M23" si="3">IF(K27=0,"-",$D$34/K27)</f>
        <v>94.253826510259046</v>
      </c>
      <c r="L20" s="29">
        <f t="shared" si="3"/>
        <v>778.11212833965999</v>
      </c>
      <c r="M20" s="51">
        <f t="shared" si="3"/>
        <v>1.0884625586642893</v>
      </c>
      <c r="N20" s="305" t="s">
        <v>132</v>
      </c>
      <c r="O20" s="300"/>
    </row>
    <row r="21" spans="1:16">
      <c r="C21" s="24" t="s">
        <v>7</v>
      </c>
      <c r="D21" s="31">
        <f t="shared" si="2"/>
        <v>90.600075933276429</v>
      </c>
      <c r="E21" s="32">
        <f t="shared" si="2"/>
        <v>1291.4094852652488</v>
      </c>
      <c r="F21" s="52">
        <f t="shared" si="2"/>
        <v>2.4784264976874031</v>
      </c>
      <c r="G21" s="301"/>
      <c r="H21" s="300"/>
      <c r="J21" s="24" t="s">
        <v>7</v>
      </c>
      <c r="K21" s="31">
        <f t="shared" si="3"/>
        <v>138.88793887807972</v>
      </c>
      <c r="L21" s="32">
        <f t="shared" si="3"/>
        <v>1861.6543448637674</v>
      </c>
      <c r="M21" s="52">
        <f t="shared" si="3"/>
        <v>2.4510369613728566</v>
      </c>
      <c r="N21" s="301"/>
      <c r="O21" s="300"/>
    </row>
    <row r="22" spans="1:16">
      <c r="C22" s="24" t="s">
        <v>8</v>
      </c>
      <c r="D22" s="31">
        <f t="shared" si="2"/>
        <v>112.26776697202772</v>
      </c>
      <c r="E22" s="32">
        <f t="shared" si="2"/>
        <v>1154.8845310520146</v>
      </c>
      <c r="F22" s="52">
        <f t="shared" si="2"/>
        <v>2.8295187262143484</v>
      </c>
      <c r="G22" s="301"/>
      <c r="H22" s="300"/>
      <c r="J22" s="24" t="s">
        <v>8</v>
      </c>
      <c r="K22" s="31">
        <f t="shared" si="3"/>
        <v>138.59166536024196</v>
      </c>
      <c r="L22" s="32">
        <f t="shared" si="3"/>
        <v>2300.7119525262738</v>
      </c>
      <c r="M22" s="52">
        <f t="shared" si="3"/>
        <v>3.1680820779590979</v>
      </c>
      <c r="N22" s="301"/>
      <c r="O22" s="300"/>
    </row>
    <row r="23" spans="1:16" ht="13.5" thickBot="1">
      <c r="C23" s="24" t="s">
        <v>6</v>
      </c>
      <c r="D23" s="34">
        <f t="shared" si="2"/>
        <v>138.68140057375493</v>
      </c>
      <c r="E23" s="35">
        <f t="shared" si="2"/>
        <v>2631.2737195834757</v>
      </c>
      <c r="F23" s="53">
        <f t="shared" si="2"/>
        <v>24.877579975476451</v>
      </c>
      <c r="G23" s="301"/>
      <c r="H23" s="300"/>
      <c r="J23" s="24" t="s">
        <v>6</v>
      </c>
      <c r="K23" s="34">
        <f t="shared" si="3"/>
        <v>308.51393814277014</v>
      </c>
      <c r="L23" s="35">
        <f t="shared" si="3"/>
        <v>4140.3078657773485</v>
      </c>
      <c r="M23" s="53">
        <f t="shared" si="3"/>
        <v>24.877579975476451</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13.303881410000001</v>
      </c>
      <c r="E27" s="209">
        <v>1.075736325</v>
      </c>
      <c r="F27" s="210">
        <v>654.04639269999996</v>
      </c>
      <c r="G27" s="305" t="str">
        <f>"EOS pounds removed per '"&amp;E3&amp;"' of practice per year"</f>
        <v>EOS pounds removed per 'acre treated' of practice per year</v>
      </c>
      <c r="H27" s="300"/>
      <c r="J27" s="24" t="s">
        <v>9</v>
      </c>
      <c r="K27" s="56">
        <v>8.7789539229999995</v>
      </c>
      <c r="L27" s="209">
        <v>1.0634071490000001</v>
      </c>
      <c r="M27" s="210">
        <v>760.20070090000002</v>
      </c>
      <c r="N27" s="299" t="str">
        <f>"delivered pounds removed per '"&amp;E3&amp;"' of practice per year"</f>
        <v>delivered pounds removed per 'acre treated' of practice per year</v>
      </c>
      <c r="O27" s="300"/>
      <c r="P27" s="204"/>
    </row>
    <row r="28" spans="1:16">
      <c r="C28" s="24" t="s">
        <v>7</v>
      </c>
      <c r="D28" s="211">
        <v>9.1329945529999996</v>
      </c>
      <c r="E28" s="212">
        <v>0.64073402700000004</v>
      </c>
      <c r="F28" s="213">
        <v>333.86102060000002</v>
      </c>
      <c r="G28" s="301"/>
      <c r="H28" s="300"/>
      <c r="J28" s="24" t="s">
        <v>7</v>
      </c>
      <c r="K28" s="57">
        <v>5.9576807509999998</v>
      </c>
      <c r="L28" s="212">
        <v>0.44447026499999998</v>
      </c>
      <c r="M28" s="213">
        <v>337.59180830000003</v>
      </c>
      <c r="N28" s="301"/>
      <c r="O28" s="300"/>
      <c r="P28" s="204"/>
    </row>
    <row r="29" spans="1:16">
      <c r="C29" s="24" t="s">
        <v>8</v>
      </c>
      <c r="D29" s="211">
        <v>7.3703256269999997</v>
      </c>
      <c r="E29" s="212">
        <v>0.71647855500000002</v>
      </c>
      <c r="F29" s="213">
        <v>292.43489090000003</v>
      </c>
      <c r="G29" s="301"/>
      <c r="H29" s="300"/>
      <c r="J29" s="24" t="s">
        <v>8</v>
      </c>
      <c r="K29" s="57">
        <v>5.9704167479999999</v>
      </c>
      <c r="L29" s="212">
        <v>0.35964954199999999</v>
      </c>
      <c r="M29" s="213">
        <v>261.1832584</v>
      </c>
      <c r="N29" s="301"/>
      <c r="O29" s="300"/>
      <c r="P29" s="204"/>
    </row>
    <row r="30" spans="1:16" ht="13.5" thickBot="1">
      <c r="C30" s="24" t="s">
        <v>6</v>
      </c>
      <c r="D30" s="214">
        <v>5.9665535289999996</v>
      </c>
      <c r="E30" s="215">
        <v>0.31446747400000002</v>
      </c>
      <c r="F30" s="216">
        <v>33.260871870000003</v>
      </c>
      <c r="G30" s="301"/>
      <c r="H30" s="300"/>
      <c r="J30" s="24" t="s">
        <v>6</v>
      </c>
      <c r="K30" s="58">
        <v>2.6820506229999999</v>
      </c>
      <c r="L30" s="215">
        <v>0.19985228799999999</v>
      </c>
      <c r="M30" s="216">
        <v>33.260871870000003</v>
      </c>
      <c r="N30" s="301"/>
      <c r="O30" s="300"/>
      <c r="P30" s="204"/>
    </row>
    <row r="31" spans="1:16" ht="13.5" thickBot="1"/>
    <row r="32" spans="1:16" s="42" customFormat="1">
      <c r="A32" s="86" t="s">
        <v>1</v>
      </c>
    </row>
    <row r="33" spans="1:12" ht="5.25" customHeight="1" thickBot="1"/>
    <row r="34" spans="1:12" ht="13.5" thickBot="1">
      <c r="C34" s="24" t="s">
        <v>11</v>
      </c>
      <c r="D34" s="46">
        <f>-PMT(D39,D38,D36)+D37</f>
        <v>827.45</v>
      </c>
      <c r="E34" s="18" t="str">
        <f>"$ per '"&amp;E3&amp;"' of practice per year"</f>
        <v>$ per 'acre treated' of practice per year</v>
      </c>
      <c r="I34" s="82" t="s">
        <v>169</v>
      </c>
      <c r="J34" s="217" t="s">
        <v>160</v>
      </c>
      <c r="K34" s="218" t="s">
        <v>233</v>
      </c>
      <c r="L34" s="219" t="s">
        <v>165</v>
      </c>
    </row>
    <row r="35" spans="1:12" ht="5.25" customHeight="1" thickBot="1">
      <c r="C35" s="24"/>
      <c r="D35" s="47"/>
      <c r="E35" s="18"/>
      <c r="I35" s="78"/>
      <c r="J35" s="220"/>
      <c r="K35" s="220"/>
      <c r="L35" s="221"/>
    </row>
    <row r="36" spans="1:12">
      <c r="C36" s="24" t="s">
        <v>10</v>
      </c>
      <c r="D36" s="38">
        <f>L36</f>
        <v>10299</v>
      </c>
      <c r="E36" s="18" t="str">
        <f>"$ per '"&amp;E3&amp;"' of practice"</f>
        <v>$ per 'acre treated' of practice</v>
      </c>
      <c r="I36" s="78" t="s">
        <v>162</v>
      </c>
      <c r="J36" s="236">
        <v>9598</v>
      </c>
      <c r="K36" s="236">
        <v>11000</v>
      </c>
      <c r="L36" s="241">
        <f>AVERAGE(J36:K36)</f>
        <v>10299</v>
      </c>
    </row>
    <row r="37" spans="1:12">
      <c r="C37" s="24" t="s">
        <v>12</v>
      </c>
      <c r="D37" s="39">
        <f>L37</f>
        <v>312.5</v>
      </c>
      <c r="E37" s="18" t="str">
        <f>"$ per '"&amp;E3&amp;"' of practice per year"</f>
        <v>$ per 'acre treated' of practice per year</v>
      </c>
      <c r="I37" s="78" t="s">
        <v>161</v>
      </c>
      <c r="J37" s="236">
        <v>392</v>
      </c>
      <c r="K37" s="236">
        <v>233</v>
      </c>
      <c r="L37" s="241">
        <f>AVERAGE(J37:K37)</f>
        <v>312.5</v>
      </c>
    </row>
    <row r="38" spans="1:12">
      <c r="C38" s="24" t="s">
        <v>13</v>
      </c>
      <c r="D38" s="40">
        <f>L38</f>
        <v>20</v>
      </c>
      <c r="E38" s="18" t="s">
        <v>15</v>
      </c>
      <c r="I38" s="78" t="s">
        <v>163</v>
      </c>
      <c r="J38" s="245">
        <v>20</v>
      </c>
      <c r="K38" s="245">
        <v>20</v>
      </c>
      <c r="L38" s="247">
        <v>20</v>
      </c>
    </row>
    <row r="39" spans="1:12" ht="13.5" thickBot="1">
      <c r="C39" s="24" t="s">
        <v>14</v>
      </c>
      <c r="D39" s="41">
        <f>Summary!C35</f>
        <v>0</v>
      </c>
      <c r="E39" s="18" t="s">
        <v>16</v>
      </c>
      <c r="I39" s="80" t="s">
        <v>166</v>
      </c>
      <c r="J39" s="239">
        <f>J37+(J36/J38)</f>
        <v>871.9</v>
      </c>
      <c r="K39" s="239">
        <f>K37+(K36/K38)</f>
        <v>783</v>
      </c>
      <c r="L39" s="242">
        <f>L37+(L36/L38)</f>
        <v>827.45</v>
      </c>
    </row>
    <row r="40" spans="1:12">
      <c r="F40" s="234"/>
    </row>
    <row r="41" spans="1:12" ht="12.75" customHeight="1">
      <c r="I41" s="304" t="s">
        <v>279</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57.xml><?xml version="1.0" encoding="utf-8"?>
<worksheet xmlns="http://schemas.openxmlformats.org/spreadsheetml/2006/main" xmlns:r="http://schemas.openxmlformats.org/officeDocument/2006/relationships">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1" style="17" bestFit="1" customWidth="1"/>
    <col min="13" max="16384" width="9.140625" style="17"/>
  </cols>
  <sheetData>
    <row r="1" spans="1:19" s="20" customFormat="1" ht="21" customHeight="1">
      <c r="A1" s="302" t="s">
        <v>136</v>
      </c>
      <c r="B1" s="303"/>
      <c r="D1" s="25" t="s">
        <v>134</v>
      </c>
      <c r="E1" s="89" t="str">
        <f>VLOOKUP($K$1,'BMP info'!A:G,3,FALSE)</f>
        <v>Dry Detention Ponds and Hydrodynamic Structures</v>
      </c>
      <c r="I1" s="22"/>
      <c r="J1" s="37" t="s">
        <v>135</v>
      </c>
      <c r="K1" s="50">
        <v>42</v>
      </c>
      <c r="L1" s="22"/>
      <c r="M1" s="22"/>
      <c r="N1" s="22"/>
      <c r="O1" s="22"/>
      <c r="P1" s="22"/>
      <c r="Q1" s="22"/>
      <c r="R1" s="22"/>
    </row>
    <row r="2" spans="1:19" s="20" customFormat="1" ht="12.75" customHeight="1">
      <c r="D2" s="48" t="s">
        <v>3</v>
      </c>
      <c r="E2" s="19" t="str">
        <f>VLOOKUP($K$1,'BMP info'!A:G,4,FALSE)</f>
        <v>DryPonds</v>
      </c>
      <c r="I2" s="23"/>
      <c r="L2" s="23"/>
      <c r="M2" s="23"/>
      <c r="N2" s="23"/>
      <c r="O2" s="23"/>
      <c r="P2" s="23"/>
      <c r="Q2" s="23"/>
      <c r="R2" s="23"/>
      <c r="S2" s="23"/>
    </row>
    <row r="3" spans="1:19" s="20" customFormat="1" ht="12.75" customHeight="1">
      <c r="D3" s="48" t="s">
        <v>79</v>
      </c>
      <c r="E3" s="19" t="str">
        <f>VLOOKUP($K$1,'BMP info'!A:G,5,FALSE)</f>
        <v>acre treated</v>
      </c>
      <c r="I3" s="23"/>
      <c r="K3" s="49"/>
      <c r="L3" s="23"/>
      <c r="M3" s="23"/>
      <c r="N3" s="23"/>
      <c r="O3" s="23"/>
      <c r="P3" s="23"/>
      <c r="Q3" s="23"/>
      <c r="R3" s="23"/>
      <c r="S3" s="23"/>
    </row>
    <row r="4" spans="1:19" s="20" customFormat="1" ht="12.75" customHeight="1">
      <c r="D4" s="48" t="s">
        <v>170</v>
      </c>
      <c r="E4" s="19" t="str">
        <f>VLOOKUP($K$1,'BMP info'!A:G,6,FALSE)</f>
        <v>efficiency treated</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0.9066322023464336</v>
      </c>
      <c r="E13" s="29">
        <f t="shared" si="0"/>
        <v>0.102331297675871</v>
      </c>
      <c r="F13" s="51">
        <f t="shared" si="0"/>
        <v>68.830355560512118</v>
      </c>
      <c r="G13" s="305" t="s">
        <v>254</v>
      </c>
      <c r="H13" s="300"/>
      <c r="J13" s="24" t="s">
        <v>9</v>
      </c>
      <c r="K13" s="28">
        <f t="shared" ref="K13:M16" si="1">IF(K27*$D$34=0,"-",1000*K27/$D$34)</f>
        <v>0.54954720613819885</v>
      </c>
      <c r="L13" s="29">
        <f t="shared" si="1"/>
        <v>7.0135859392425379E-2</v>
      </c>
      <c r="M13" s="51">
        <f t="shared" si="1"/>
        <v>51.826596627559447</v>
      </c>
      <c r="N13" s="305" t="s">
        <v>133</v>
      </c>
      <c r="O13" s="300"/>
    </row>
    <row r="14" spans="1:19">
      <c r="C14" s="24" t="s">
        <v>7</v>
      </c>
      <c r="D14" s="31">
        <f t="shared" si="0"/>
        <v>0.55270088325824152</v>
      </c>
      <c r="E14" s="32">
        <f t="shared" si="0"/>
        <v>6.2506200651291435E-2</v>
      </c>
      <c r="F14" s="52">
        <f t="shared" si="0"/>
        <v>29.660624998884778</v>
      </c>
      <c r="G14" s="301"/>
      <c r="H14" s="300"/>
      <c r="J14" s="24" t="s">
        <v>7</v>
      </c>
      <c r="K14" s="31">
        <f t="shared" si="1"/>
        <v>0.34329340411295001</v>
      </c>
      <c r="L14" s="32">
        <f t="shared" si="1"/>
        <v>4.1905350403711468E-2</v>
      </c>
      <c r="M14" s="52">
        <f t="shared" si="1"/>
        <v>22.66929850559843</v>
      </c>
      <c r="N14" s="301"/>
      <c r="O14" s="300"/>
    </row>
    <row r="15" spans="1:19">
      <c r="C15" s="24" t="s">
        <v>8</v>
      </c>
      <c r="D15" s="31">
        <f t="shared" si="0"/>
        <v>0.53770162555203649</v>
      </c>
      <c r="E15" s="32">
        <f t="shared" si="0"/>
        <v>5.3378293259579795E-2</v>
      </c>
      <c r="F15" s="52">
        <f t="shared" si="0"/>
        <v>16.783082151938263</v>
      </c>
      <c r="G15" s="301"/>
      <c r="H15" s="300"/>
      <c r="J15" s="24" t="s">
        <v>8</v>
      </c>
      <c r="K15" s="31">
        <f t="shared" si="1"/>
        <v>0.3663665486015078</v>
      </c>
      <c r="L15" s="32">
        <f t="shared" si="1"/>
        <v>4.2020168622027933E-2</v>
      </c>
      <c r="M15" s="52">
        <f t="shared" si="1"/>
        <v>14.28909041352545</v>
      </c>
      <c r="N15" s="301"/>
      <c r="O15" s="300"/>
    </row>
    <row r="16" spans="1:19" ht="13.5" thickBot="1">
      <c r="C16" s="24" t="s">
        <v>6</v>
      </c>
      <c r="D16" s="34">
        <f t="shared" si="0"/>
        <v>0.29468155417763309</v>
      </c>
      <c r="E16" s="35">
        <f t="shared" si="0"/>
        <v>4.3026396038720618E-2</v>
      </c>
      <c r="F16" s="53">
        <f t="shared" si="0"/>
        <v>1.5035313208725523</v>
      </c>
      <c r="G16" s="301"/>
      <c r="H16" s="300"/>
      <c r="J16" s="24" t="s">
        <v>6</v>
      </c>
      <c r="K16" s="34">
        <f t="shared" si="1"/>
        <v>0.11148499620823482</v>
      </c>
      <c r="L16" s="35">
        <f t="shared" si="1"/>
        <v>1.5909396440201635E-2</v>
      </c>
      <c r="M16" s="53">
        <f t="shared" si="1"/>
        <v>0.88166814381942282</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1102.9831031943531</v>
      </c>
      <c r="E20" s="29">
        <f t="shared" si="2"/>
        <v>9772.1813630024244</v>
      </c>
      <c r="F20" s="51">
        <f t="shared" si="2"/>
        <v>14.528473547123426</v>
      </c>
      <c r="G20" s="305" t="s">
        <v>253</v>
      </c>
      <c r="H20" s="300"/>
      <c r="J20" s="24" t="s">
        <v>9</v>
      </c>
      <c r="K20" s="28">
        <f t="shared" ref="K20:M23" si="3">IF(K27=0,"-",$D$34/K27)</f>
        <v>1819.6798906999129</v>
      </c>
      <c r="L20" s="29">
        <f t="shared" si="3"/>
        <v>14258.041587610447</v>
      </c>
      <c r="M20" s="51">
        <f t="shared" si="3"/>
        <v>19.295112260337724</v>
      </c>
      <c r="N20" s="305" t="s">
        <v>132</v>
      </c>
      <c r="O20" s="300"/>
    </row>
    <row r="21" spans="1:16">
      <c r="C21" s="24" t="s">
        <v>7</v>
      </c>
      <c r="D21" s="31">
        <f t="shared" si="2"/>
        <v>1809.2969095776971</v>
      </c>
      <c r="E21" s="32">
        <f t="shared" si="2"/>
        <v>15998.412790737091</v>
      </c>
      <c r="F21" s="52">
        <f t="shared" si="2"/>
        <v>33.714731231644627</v>
      </c>
      <c r="G21" s="301"/>
      <c r="H21" s="300"/>
      <c r="J21" s="24" t="s">
        <v>7</v>
      </c>
      <c r="K21" s="31">
        <f t="shared" si="3"/>
        <v>2912.9601327003097</v>
      </c>
      <c r="L21" s="32">
        <f t="shared" si="3"/>
        <v>23863.301233997841</v>
      </c>
      <c r="M21" s="52">
        <f t="shared" si="3"/>
        <v>44.112525129661115</v>
      </c>
      <c r="N21" s="301"/>
      <c r="O21" s="300"/>
    </row>
    <row r="22" spans="1:16">
      <c r="C22" s="24" t="s">
        <v>8</v>
      </c>
      <c r="D22" s="31">
        <f t="shared" si="2"/>
        <v>1859.7674853099813</v>
      </c>
      <c r="E22" s="32">
        <f t="shared" si="2"/>
        <v>18734.207089330834</v>
      </c>
      <c r="F22" s="52">
        <f t="shared" si="2"/>
        <v>59.583811301579722</v>
      </c>
      <c r="G22" s="301"/>
      <c r="H22" s="300"/>
      <c r="J22" s="24" t="s">
        <v>8</v>
      </c>
      <c r="K22" s="31">
        <f t="shared" si="3"/>
        <v>2729.5068390310034</v>
      </c>
      <c r="L22" s="32">
        <f t="shared" si="3"/>
        <v>23798.095838096597</v>
      </c>
      <c r="M22" s="52">
        <f t="shared" si="3"/>
        <v>69.983460882397537</v>
      </c>
      <c r="N22" s="301"/>
      <c r="O22" s="300"/>
    </row>
    <row r="23" spans="1:16" ht="13.5" thickBot="1">
      <c r="C23" s="24" t="s">
        <v>6</v>
      </c>
      <c r="D23" s="34">
        <f t="shared" si="2"/>
        <v>3393.4937081172147</v>
      </c>
      <c r="E23" s="35">
        <f t="shared" si="2"/>
        <v>23241.54686579078</v>
      </c>
      <c r="F23" s="53">
        <f t="shared" si="2"/>
        <v>665.10087692730258</v>
      </c>
      <c r="G23" s="301"/>
      <c r="H23" s="300"/>
      <c r="J23" s="24" t="s">
        <v>6</v>
      </c>
      <c r="K23" s="34">
        <f t="shared" si="3"/>
        <v>8969.8168723275703</v>
      </c>
      <c r="L23" s="35">
        <f t="shared" si="3"/>
        <v>62855.935720671885</v>
      </c>
      <c r="M23" s="53">
        <f t="shared" si="3"/>
        <v>1134.2136006728776</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1.016198704</v>
      </c>
      <c r="E27" s="209">
        <v>0.114698035</v>
      </c>
      <c r="F27" s="210">
        <v>77.148504029999998</v>
      </c>
      <c r="G27" s="305" t="str">
        <f>"EOS pounds removed per '"&amp;E3&amp;"' of practice per year"</f>
        <v>EOS pounds removed per 'acre treated' of practice per year</v>
      </c>
      <c r="H27" s="300"/>
      <c r="J27" s="24" t="s">
        <v>9</v>
      </c>
      <c r="K27" s="56">
        <v>0.61595998600000001</v>
      </c>
      <c r="L27" s="209">
        <v>7.8611777999999993E-2</v>
      </c>
      <c r="M27" s="210">
        <v>58.08984083</v>
      </c>
      <c r="N27" s="299" t="str">
        <f>"delivered pounds removed per '"&amp;E3&amp;"' of practice per year"</f>
        <v>delivered pounds removed per 'acre treated' of practice per year</v>
      </c>
      <c r="O27" s="300"/>
      <c r="P27" s="204"/>
    </row>
    <row r="28" spans="1:16">
      <c r="C28" s="24" t="s">
        <v>7</v>
      </c>
      <c r="D28" s="211">
        <v>0.61949478499999999</v>
      </c>
      <c r="E28" s="212">
        <v>7.0060074999999999E-2</v>
      </c>
      <c r="F28" s="213">
        <v>33.245111530000003</v>
      </c>
      <c r="G28" s="301"/>
      <c r="H28" s="300"/>
      <c r="J28" s="24" t="s">
        <v>7</v>
      </c>
      <c r="K28" s="57">
        <v>0.38478041200000002</v>
      </c>
      <c r="L28" s="212">
        <v>4.6969612000000001E-2</v>
      </c>
      <c r="M28" s="213">
        <v>25.408883230000001</v>
      </c>
      <c r="N28" s="301"/>
      <c r="O28" s="300"/>
      <c r="P28" s="204"/>
    </row>
    <row r="29" spans="1:16">
      <c r="C29" s="24" t="s">
        <v>8</v>
      </c>
      <c r="D29" s="211">
        <v>0.60268286699999996</v>
      </c>
      <c r="E29" s="212">
        <v>5.9829060000000003E-2</v>
      </c>
      <c r="F29" s="213">
        <v>18.811317630000001</v>
      </c>
      <c r="G29" s="301"/>
      <c r="H29" s="300"/>
      <c r="J29" s="24" t="s">
        <v>8</v>
      </c>
      <c r="K29" s="57">
        <v>0.41064194599999998</v>
      </c>
      <c r="L29" s="212">
        <v>4.7098306E-2</v>
      </c>
      <c r="M29" s="213">
        <v>16.015926990000001</v>
      </c>
      <c r="N29" s="301"/>
      <c r="O29" s="300"/>
      <c r="P29" s="204"/>
    </row>
    <row r="30" spans="1:16" ht="13.5" thickBot="1">
      <c r="C30" s="24" t="s">
        <v>6</v>
      </c>
      <c r="D30" s="214">
        <v>0.33029382000000002</v>
      </c>
      <c r="E30" s="215">
        <v>4.8226136000000003E-2</v>
      </c>
      <c r="F30" s="216">
        <v>1.685233081</v>
      </c>
      <c r="G30" s="301"/>
      <c r="H30" s="300"/>
      <c r="J30" s="24" t="s">
        <v>6</v>
      </c>
      <c r="K30" s="58">
        <v>0.12495795799999999</v>
      </c>
      <c r="L30" s="215">
        <v>1.7832047E-2</v>
      </c>
      <c r="M30" s="216">
        <v>0.98821773899999998</v>
      </c>
      <c r="N30" s="301"/>
      <c r="O30" s="300"/>
      <c r="P30" s="204"/>
    </row>
    <row r="31" spans="1:16" ht="13.5" thickBot="1"/>
    <row r="32" spans="1:16" s="42" customFormat="1">
      <c r="A32" s="86" t="s">
        <v>1</v>
      </c>
    </row>
    <row r="33" spans="1:12" ht="5.25" customHeight="1" thickBot="1"/>
    <row r="34" spans="1:12" ht="13.5" thickBot="1">
      <c r="C34" s="24" t="s">
        <v>11</v>
      </c>
      <c r="D34" s="46">
        <f>-PMT(D39,D38,D36)+D37</f>
        <v>1120.8499999999999</v>
      </c>
      <c r="E34" s="18" t="str">
        <f>"$ per '"&amp;E3&amp;"' of practice per year"</f>
        <v>$ per 'acre treated' of practice per year</v>
      </c>
      <c r="I34" s="82" t="s">
        <v>169</v>
      </c>
      <c r="J34" s="217" t="s">
        <v>160</v>
      </c>
      <c r="K34" s="218" t="s">
        <v>233</v>
      </c>
      <c r="L34" s="219" t="s">
        <v>165</v>
      </c>
    </row>
    <row r="35" spans="1:12" ht="5.25" customHeight="1" thickBot="1">
      <c r="C35" s="24"/>
      <c r="D35" s="47"/>
      <c r="E35" s="18"/>
      <c r="I35" s="78"/>
      <c r="J35" s="220"/>
      <c r="K35" s="220"/>
      <c r="L35" s="221"/>
    </row>
    <row r="36" spans="1:12">
      <c r="C36" s="24" t="s">
        <v>10</v>
      </c>
      <c r="D36" s="38">
        <f>L36</f>
        <v>10507</v>
      </c>
      <c r="E36" s="18" t="str">
        <f>"$ per '"&amp;E3&amp;"' of practice"</f>
        <v>$ per 'acre treated' of practice</v>
      </c>
      <c r="I36" s="78" t="s">
        <v>162</v>
      </c>
      <c r="J36" s="236">
        <v>10264</v>
      </c>
      <c r="K36" s="236">
        <v>10750</v>
      </c>
      <c r="L36" s="241">
        <f>AVERAGE(J36:K36)</f>
        <v>10507</v>
      </c>
    </row>
    <row r="37" spans="1:12">
      <c r="C37" s="24" t="s">
        <v>12</v>
      </c>
      <c r="D37" s="39">
        <f>L37</f>
        <v>595.5</v>
      </c>
      <c r="E37" s="18" t="str">
        <f>"$ per '"&amp;E3&amp;"' of practice per year"</f>
        <v>$ per 'acre treated' of practice per year</v>
      </c>
      <c r="I37" s="78" t="s">
        <v>161</v>
      </c>
      <c r="J37" s="236">
        <v>596</v>
      </c>
      <c r="K37" s="236">
        <v>595</v>
      </c>
      <c r="L37" s="241">
        <f>AVERAGE(J37:K37)</f>
        <v>595.5</v>
      </c>
    </row>
    <row r="38" spans="1:12">
      <c r="C38" s="24" t="s">
        <v>13</v>
      </c>
      <c r="D38" s="40">
        <f>L38</f>
        <v>20</v>
      </c>
      <c r="E38" s="18" t="s">
        <v>15</v>
      </c>
      <c r="I38" s="78" t="s">
        <v>163</v>
      </c>
      <c r="J38" s="245">
        <v>20</v>
      </c>
      <c r="K38" s="245">
        <v>20</v>
      </c>
      <c r="L38" s="247">
        <v>20</v>
      </c>
    </row>
    <row r="39" spans="1:12" ht="13.5" thickBot="1">
      <c r="C39" s="24" t="s">
        <v>14</v>
      </c>
      <c r="D39" s="41">
        <f>Summary!C35</f>
        <v>0</v>
      </c>
      <c r="E39" s="18" t="s">
        <v>16</v>
      </c>
      <c r="I39" s="80" t="s">
        <v>166</v>
      </c>
      <c r="J39" s="239">
        <f>J37+(J36/J38)</f>
        <v>1109.2</v>
      </c>
      <c r="K39" s="239">
        <f>K37+(K36/K38)</f>
        <v>1132.5</v>
      </c>
      <c r="L39" s="242">
        <f>L37+(L36/L38)</f>
        <v>1120.8499999999999</v>
      </c>
    </row>
    <row r="40" spans="1:12">
      <c r="F40" s="234"/>
    </row>
    <row r="41" spans="1:12" ht="12.75" customHeight="1">
      <c r="I41" s="304" t="s">
        <v>279</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58.xml><?xml version="1.0" encoding="utf-8"?>
<worksheet xmlns="http://schemas.openxmlformats.org/spreadsheetml/2006/main" xmlns:r="http://schemas.openxmlformats.org/officeDocument/2006/relationships">
  <sheetPr codeName="Sheet7"/>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1" style="17" bestFit="1" customWidth="1"/>
    <col min="13" max="16384" width="9.140625" style="17"/>
  </cols>
  <sheetData>
    <row r="1" spans="1:19" s="20" customFormat="1" ht="21" customHeight="1">
      <c r="A1" s="302" t="s">
        <v>136</v>
      </c>
      <c r="B1" s="303"/>
      <c r="D1" s="25" t="s">
        <v>134</v>
      </c>
      <c r="E1" s="89" t="str">
        <f>VLOOKUP($K$1,'BMP info'!A:G,3,FALSE)</f>
        <v>Erosion and Sediment Control</v>
      </c>
      <c r="I1" s="22"/>
      <c r="J1" s="37" t="s">
        <v>135</v>
      </c>
      <c r="K1" s="50">
        <v>43</v>
      </c>
      <c r="L1" s="22"/>
      <c r="M1" s="22"/>
      <c r="N1" s="22"/>
      <c r="O1" s="22"/>
      <c r="P1" s="22"/>
      <c r="Q1" s="22"/>
      <c r="R1" s="22"/>
    </row>
    <row r="2" spans="1:19" s="20" customFormat="1" ht="12.75" customHeight="1">
      <c r="D2" s="48" t="s">
        <v>3</v>
      </c>
      <c r="E2" s="19" t="str">
        <f>VLOOKUP($K$1,'BMP info'!A:G,4,FALSE)</f>
        <v>EandS</v>
      </c>
      <c r="I2" s="23"/>
      <c r="L2" s="23"/>
      <c r="M2" s="23"/>
      <c r="N2" s="23"/>
      <c r="O2" s="23"/>
      <c r="P2" s="23"/>
      <c r="Q2" s="23"/>
      <c r="R2" s="23"/>
      <c r="S2" s="23"/>
    </row>
    <row r="3" spans="1:19" s="20" customFormat="1" ht="12.75" customHeight="1">
      <c r="D3" s="48" t="s">
        <v>79</v>
      </c>
      <c r="E3" s="19" t="str">
        <f>VLOOKUP($K$1,'BMP info'!A:G,5,FALSE)</f>
        <v>acre treated</v>
      </c>
      <c r="I3" s="23"/>
      <c r="K3" s="49"/>
      <c r="L3" s="23"/>
      <c r="M3" s="23"/>
      <c r="N3" s="23"/>
      <c r="O3" s="23"/>
      <c r="P3" s="23"/>
      <c r="Q3" s="23"/>
      <c r="R3" s="23"/>
      <c r="S3" s="23"/>
    </row>
    <row r="4" spans="1:19" s="20" customFormat="1" ht="12.75" customHeight="1">
      <c r="D4" s="48" t="s">
        <v>170</v>
      </c>
      <c r="E4" s="19" t="str">
        <f>VLOOKUP($K$1,'BMP info'!A:G,6,FALSE)</f>
        <v>efficiency treated</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12.164082061302683</v>
      </c>
      <c r="E13" s="29">
        <f t="shared" si="0"/>
        <v>3.1818686298850576</v>
      </c>
      <c r="F13" s="51">
        <f t="shared" si="0"/>
        <v>3383.1977440613027</v>
      </c>
      <c r="G13" s="305" t="s">
        <v>254</v>
      </c>
      <c r="H13" s="300"/>
      <c r="J13" s="24" t="s">
        <v>9</v>
      </c>
      <c r="K13" s="28">
        <f t="shared" ref="K13:M16" si="1">IF(K27*$D$34=0,"-",1000*K27/$D$34)</f>
        <v>7.1510647287356326</v>
      </c>
      <c r="L13" s="29">
        <f t="shared" si="1"/>
        <v>1.5810660068965516</v>
      </c>
      <c r="M13" s="51">
        <f t="shared" si="1"/>
        <v>2790.3792881226054</v>
      </c>
      <c r="N13" s="305" t="s">
        <v>133</v>
      </c>
      <c r="O13" s="300"/>
    </row>
    <row r="14" spans="1:19">
      <c r="C14" s="24" t="s">
        <v>7</v>
      </c>
      <c r="D14" s="31">
        <f t="shared" si="0"/>
        <v>5.9486200620689651</v>
      </c>
      <c r="E14" s="32">
        <f t="shared" si="0"/>
        <v>1.8423883264367815</v>
      </c>
      <c r="F14" s="52">
        <f t="shared" si="0"/>
        <v>1622.6767586206895</v>
      </c>
      <c r="G14" s="301"/>
      <c r="H14" s="300"/>
      <c r="J14" s="24" t="s">
        <v>7</v>
      </c>
      <c r="K14" s="31">
        <f t="shared" si="1"/>
        <v>3.8046373072796933</v>
      </c>
      <c r="L14" s="32">
        <f t="shared" si="1"/>
        <v>1.2571541961685824</v>
      </c>
      <c r="M14" s="52">
        <f t="shared" si="1"/>
        <v>1423.9945532567049</v>
      </c>
      <c r="N14" s="301"/>
      <c r="O14" s="300"/>
    </row>
    <row r="15" spans="1:19">
      <c r="C15" s="24" t="s">
        <v>8</v>
      </c>
      <c r="D15" s="31">
        <f t="shared" si="0"/>
        <v>3.9369566743295019</v>
      </c>
      <c r="E15" s="32">
        <f t="shared" si="0"/>
        <v>1.5619750022988506</v>
      </c>
      <c r="F15" s="52">
        <f t="shared" si="0"/>
        <v>1025.7475961685825</v>
      </c>
      <c r="G15" s="301"/>
      <c r="H15" s="300"/>
      <c r="J15" s="24" t="s">
        <v>8</v>
      </c>
      <c r="K15" s="31">
        <f t="shared" si="1"/>
        <v>3.3810761118773951</v>
      </c>
      <c r="L15" s="32">
        <f t="shared" si="1"/>
        <v>1.320039934099617</v>
      </c>
      <c r="M15" s="52">
        <f t="shared" si="1"/>
        <v>1196.3783379310344</v>
      </c>
      <c r="N15" s="301"/>
      <c r="O15" s="300"/>
    </row>
    <row r="16" spans="1:19" ht="13.5" thickBot="1">
      <c r="C16" s="24" t="s">
        <v>6</v>
      </c>
      <c r="D16" s="34">
        <f t="shared" si="0"/>
        <v>3.2349381977011493</v>
      </c>
      <c r="E16" s="35">
        <f t="shared" si="0"/>
        <v>1.0981077302681992</v>
      </c>
      <c r="F16" s="53">
        <f t="shared" si="0"/>
        <v>504.90287800766288</v>
      </c>
      <c r="G16" s="301"/>
      <c r="H16" s="300"/>
      <c r="J16" s="24" t="s">
        <v>6</v>
      </c>
      <c r="K16" s="34">
        <f t="shared" si="1"/>
        <v>1.3569932436781609</v>
      </c>
      <c r="L16" s="35">
        <f t="shared" si="1"/>
        <v>0.81817396398467424</v>
      </c>
      <c r="M16" s="53">
        <f t="shared" si="1"/>
        <v>472.96865218390803</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82.209244804528026</v>
      </c>
      <c r="E20" s="29">
        <f t="shared" si="2"/>
        <v>314.2807313311751</v>
      </c>
      <c r="F20" s="51">
        <f t="shared" si="2"/>
        <v>0.29557834795655985</v>
      </c>
      <c r="G20" s="305" t="s">
        <v>253</v>
      </c>
      <c r="H20" s="300"/>
      <c r="J20" s="24" t="s">
        <v>9</v>
      </c>
      <c r="K20" s="28">
        <f t="shared" ref="K20:M23" si="3">IF(K27=0,"-",$D$34/K27)</f>
        <v>139.83931595271804</v>
      </c>
      <c r="L20" s="29">
        <f t="shared" si="3"/>
        <v>632.48466265041236</v>
      </c>
      <c r="M20" s="51">
        <f t="shared" si="3"/>
        <v>0.35837421968280514</v>
      </c>
      <c r="N20" s="305" t="s">
        <v>132</v>
      </c>
      <c r="O20" s="300"/>
    </row>
    <row r="21" spans="1:16">
      <c r="C21" s="24" t="s">
        <v>7</v>
      </c>
      <c r="D21" s="31">
        <f t="shared" si="2"/>
        <v>168.10621447761349</v>
      </c>
      <c r="E21" s="32">
        <f t="shared" si="2"/>
        <v>542.77373865802838</v>
      </c>
      <c r="F21" s="52">
        <f t="shared" si="2"/>
        <v>0.61626568242095336</v>
      </c>
      <c r="G21" s="301"/>
      <c r="H21" s="300"/>
      <c r="J21" s="24" t="s">
        <v>7</v>
      </c>
      <c r="K21" s="31">
        <f t="shared" si="3"/>
        <v>262.83714300089161</v>
      </c>
      <c r="L21" s="32">
        <f t="shared" si="3"/>
        <v>795.44737077415891</v>
      </c>
      <c r="M21" s="52">
        <f t="shared" si="3"/>
        <v>0.70224987708905162</v>
      </c>
      <c r="N21" s="301"/>
      <c r="O21" s="300"/>
    </row>
    <row r="22" spans="1:16">
      <c r="C22" s="24" t="s">
        <v>8</v>
      </c>
      <c r="D22" s="31">
        <f t="shared" si="2"/>
        <v>254.0033032419156</v>
      </c>
      <c r="E22" s="32">
        <f t="shared" si="2"/>
        <v>640.21511133548313</v>
      </c>
      <c r="F22" s="52">
        <f t="shared" si="2"/>
        <v>0.97489870191774664</v>
      </c>
      <c r="G22" s="301"/>
      <c r="H22" s="300"/>
      <c r="J22" s="24" t="s">
        <v>8</v>
      </c>
      <c r="K22" s="31">
        <f t="shared" si="3"/>
        <v>295.76382397518245</v>
      </c>
      <c r="L22" s="32">
        <f t="shared" si="3"/>
        <v>757.55283924958519</v>
      </c>
      <c r="M22" s="52">
        <f t="shared" si="3"/>
        <v>0.83585598994491761</v>
      </c>
      <c r="N22" s="301"/>
      <c r="O22" s="300"/>
    </row>
    <row r="23" spans="1:16" ht="13.5" thickBot="1">
      <c r="C23" s="24" t="s">
        <v>6</v>
      </c>
      <c r="D23" s="34">
        <f t="shared" si="2"/>
        <v>309.12491642363739</v>
      </c>
      <c r="E23" s="35">
        <f t="shared" si="2"/>
        <v>910.65746323064525</v>
      </c>
      <c r="F23" s="53">
        <f t="shared" si="2"/>
        <v>1.9805789262798046</v>
      </c>
      <c r="G23" s="301"/>
      <c r="H23" s="300"/>
      <c r="J23" s="24" t="s">
        <v>6</v>
      </c>
      <c r="K23" s="34">
        <f t="shared" si="3"/>
        <v>736.9233447982964</v>
      </c>
      <c r="L23" s="35">
        <f t="shared" si="3"/>
        <v>1222.2339551478708</v>
      </c>
      <c r="M23" s="53">
        <f t="shared" si="3"/>
        <v>2.1143050292710779</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15.87412709</v>
      </c>
      <c r="E27" s="209">
        <v>4.1523385619999997</v>
      </c>
      <c r="F27" s="210">
        <v>4415.0730560000002</v>
      </c>
      <c r="G27" s="305" t="str">
        <f>"EOS pounds removed per '"&amp;E3&amp;"' of practice per year"</f>
        <v>EOS pounds removed per 'acre treated' of practice per year</v>
      </c>
      <c r="H27" s="300"/>
      <c r="J27" s="24" t="s">
        <v>9</v>
      </c>
      <c r="K27" s="56">
        <v>9.3321394709999996</v>
      </c>
      <c r="L27" s="209">
        <v>2.0632911389999999</v>
      </c>
      <c r="M27" s="210">
        <v>3641.4449709999999</v>
      </c>
      <c r="N27" s="299" t="str">
        <f>"delivered pounds removed per '"&amp;E3&amp;"' of practice per year"</f>
        <v>delivered pounds removed per 'acre treated' of practice per year</v>
      </c>
      <c r="O27" s="300"/>
      <c r="P27" s="204"/>
    </row>
    <row r="28" spans="1:16">
      <c r="C28" s="24" t="s">
        <v>7</v>
      </c>
      <c r="D28" s="211">
        <v>7.7629491809999998</v>
      </c>
      <c r="E28" s="212">
        <v>2.404316766</v>
      </c>
      <c r="F28" s="213">
        <v>2117.5931700000001</v>
      </c>
      <c r="G28" s="301"/>
      <c r="H28" s="300"/>
      <c r="J28" s="24" t="s">
        <v>7</v>
      </c>
      <c r="K28" s="57">
        <v>4.9650516859999998</v>
      </c>
      <c r="L28" s="212">
        <v>1.6405862259999999</v>
      </c>
      <c r="M28" s="213">
        <v>1858.3128919999999</v>
      </c>
      <c r="N28" s="301"/>
      <c r="O28" s="300"/>
      <c r="P28" s="204"/>
    </row>
    <row r="29" spans="1:16">
      <c r="C29" s="24" t="s">
        <v>8</v>
      </c>
      <c r="D29" s="211">
        <v>5.1377284599999999</v>
      </c>
      <c r="E29" s="212">
        <v>2.0383773779999999</v>
      </c>
      <c r="F29" s="213">
        <v>1338.6006130000001</v>
      </c>
      <c r="G29" s="301"/>
      <c r="H29" s="300"/>
      <c r="J29" s="24" t="s">
        <v>8</v>
      </c>
      <c r="K29" s="57">
        <v>4.4123043260000001</v>
      </c>
      <c r="L29" s="212">
        <v>1.722652114</v>
      </c>
      <c r="M29" s="213">
        <v>1561.273731</v>
      </c>
      <c r="N29" s="301"/>
      <c r="O29" s="300"/>
      <c r="P29" s="204"/>
    </row>
    <row r="30" spans="1:16" ht="13.5" thickBot="1">
      <c r="C30" s="24" t="s">
        <v>6</v>
      </c>
      <c r="D30" s="214">
        <v>4.221594348</v>
      </c>
      <c r="E30" s="215">
        <v>1.433030588</v>
      </c>
      <c r="F30" s="216">
        <v>658.89825580000002</v>
      </c>
      <c r="G30" s="301"/>
      <c r="H30" s="300"/>
      <c r="J30" s="24" t="s">
        <v>6</v>
      </c>
      <c r="K30" s="58">
        <v>1.7708761829999999</v>
      </c>
      <c r="L30" s="215">
        <v>1.0677170229999999</v>
      </c>
      <c r="M30" s="216">
        <v>617.22409110000001</v>
      </c>
      <c r="N30" s="301"/>
      <c r="O30" s="300"/>
      <c r="P30" s="204"/>
    </row>
    <row r="31" spans="1:16" ht="13.5" thickBot="1"/>
    <row r="32" spans="1:16" s="42" customFormat="1">
      <c r="A32" s="86" t="s">
        <v>1</v>
      </c>
    </row>
    <row r="33" spans="1:12" ht="5.25" customHeight="1" thickBot="1"/>
    <row r="34" spans="1:12" ht="13.5" thickBot="1">
      <c r="C34" s="24" t="s">
        <v>11</v>
      </c>
      <c r="D34" s="46">
        <f>-PMT(D39,D38,D36)+D37</f>
        <v>1305</v>
      </c>
      <c r="E34" s="18" t="str">
        <f>"$ per '"&amp;E3&amp;"' of practice per year"</f>
        <v>$ per 'acre treated' of practice per year</v>
      </c>
      <c r="I34" s="82" t="s">
        <v>169</v>
      </c>
      <c r="J34" s="217" t="s">
        <v>160</v>
      </c>
      <c r="K34" s="218" t="s">
        <v>233</v>
      </c>
      <c r="L34" s="219" t="s">
        <v>165</v>
      </c>
    </row>
    <row r="35" spans="1:12" ht="5.25" customHeight="1" thickBot="1">
      <c r="C35" s="24"/>
      <c r="D35" s="47"/>
      <c r="E35" s="18"/>
      <c r="I35" s="78"/>
      <c r="J35" s="220"/>
      <c r="K35" s="220"/>
      <c r="L35" s="221"/>
    </row>
    <row r="36" spans="1:12">
      <c r="C36" s="24" t="s">
        <v>10</v>
      </c>
      <c r="D36" s="38">
        <f>L36</f>
        <v>26000</v>
      </c>
      <c r="E36" s="18" t="str">
        <f>"$ per '"&amp;E3&amp;"' of practice"</f>
        <v>$ per 'acre treated' of practice</v>
      </c>
      <c r="I36" s="78" t="s">
        <v>162</v>
      </c>
      <c r="J36" s="236">
        <v>26000</v>
      </c>
      <c r="K36" s="236">
        <v>26000</v>
      </c>
      <c r="L36" s="241">
        <f>AVERAGE(J36:K36)</f>
        <v>26000</v>
      </c>
    </row>
    <row r="37" spans="1:12">
      <c r="C37" s="24" t="s">
        <v>12</v>
      </c>
      <c r="D37" s="39">
        <f>L37</f>
        <v>5</v>
      </c>
      <c r="E37" s="18" t="str">
        <f>"$ per '"&amp;E3&amp;"' of practice per year"</f>
        <v>$ per 'acre treated' of practice per year</v>
      </c>
      <c r="I37" s="78" t="s">
        <v>161</v>
      </c>
      <c r="J37" s="236">
        <v>0</v>
      </c>
      <c r="K37" s="236">
        <v>10</v>
      </c>
      <c r="L37" s="241">
        <f>AVERAGE(J37:K37)</f>
        <v>5</v>
      </c>
    </row>
    <row r="38" spans="1:12">
      <c r="C38" s="24" t="s">
        <v>13</v>
      </c>
      <c r="D38" s="40">
        <f>L38</f>
        <v>20</v>
      </c>
      <c r="E38" s="18" t="s">
        <v>15</v>
      </c>
      <c r="I38" s="78" t="s">
        <v>163</v>
      </c>
      <c r="J38" s="245">
        <v>20</v>
      </c>
      <c r="K38" s="245">
        <v>20</v>
      </c>
      <c r="L38" s="247">
        <v>20</v>
      </c>
    </row>
    <row r="39" spans="1:12" ht="13.5" thickBot="1">
      <c r="C39" s="24" t="s">
        <v>14</v>
      </c>
      <c r="D39" s="41">
        <f>Summary!C35</f>
        <v>0</v>
      </c>
      <c r="E39" s="18" t="s">
        <v>16</v>
      </c>
      <c r="I39" s="80" t="s">
        <v>166</v>
      </c>
      <c r="J39" s="239">
        <f>J37+(J36/J38)</f>
        <v>1300</v>
      </c>
      <c r="K39" s="239">
        <f>K37+(K36/K38)</f>
        <v>1310</v>
      </c>
      <c r="L39" s="242">
        <f>L37+(L36/L38)</f>
        <v>1305</v>
      </c>
    </row>
    <row r="40" spans="1:12">
      <c r="F40" s="234"/>
    </row>
    <row r="41" spans="1:12">
      <c r="I41" s="304" t="s">
        <v>230</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59.xml><?xml version="1.0" encoding="utf-8"?>
<worksheet xmlns="http://schemas.openxmlformats.org/spreadsheetml/2006/main" xmlns:r="http://schemas.openxmlformats.org/officeDocument/2006/relationships">
  <sheetPr codeName="Sheet8"/>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1" style="17" bestFit="1" customWidth="1"/>
    <col min="13" max="16384" width="9.140625" style="17"/>
  </cols>
  <sheetData>
    <row r="1" spans="1:19" s="20" customFormat="1" ht="21" customHeight="1">
      <c r="A1" s="302" t="s">
        <v>136</v>
      </c>
      <c r="B1" s="303"/>
      <c r="D1" s="25" t="s">
        <v>134</v>
      </c>
      <c r="E1" s="89" t="str">
        <f>VLOOKUP($K$1,'BMP info'!A:G,3,FALSE)</f>
        <v>Erosion and Sediment Control on Extractive, excess applied to all other pervious urban</v>
      </c>
      <c r="I1" s="22"/>
      <c r="J1" s="37" t="s">
        <v>135</v>
      </c>
      <c r="K1" s="50">
        <v>44</v>
      </c>
      <c r="L1" s="22"/>
      <c r="M1" s="22"/>
      <c r="N1" s="22"/>
      <c r="O1" s="22"/>
      <c r="P1" s="22"/>
      <c r="Q1" s="22"/>
      <c r="R1" s="22"/>
    </row>
    <row r="2" spans="1:19" s="20" customFormat="1" ht="12.75" customHeight="1">
      <c r="D2" s="48" t="s">
        <v>3</v>
      </c>
      <c r="E2" s="19" t="str">
        <f>VLOOKUP($K$1,'BMP info'!A:G,4,FALSE)</f>
        <v>EandSext</v>
      </c>
      <c r="I2" s="23"/>
      <c r="L2" s="23"/>
      <c r="M2" s="23"/>
      <c r="N2" s="23"/>
      <c r="O2" s="23"/>
      <c r="P2" s="23"/>
      <c r="Q2" s="23"/>
      <c r="R2" s="23"/>
      <c r="S2" s="23"/>
    </row>
    <row r="3" spans="1:19" s="20" customFormat="1" ht="12.75" customHeight="1">
      <c r="D3" s="48" t="s">
        <v>79</v>
      </c>
      <c r="E3" s="19" t="str">
        <f>VLOOKUP($K$1,'BMP info'!A:G,5,FALSE)</f>
        <v>acre treated</v>
      </c>
      <c r="I3" s="23"/>
      <c r="K3" s="49"/>
      <c r="L3" s="23"/>
      <c r="M3" s="23"/>
      <c r="N3" s="23"/>
      <c r="O3" s="23"/>
      <c r="P3" s="23"/>
      <c r="Q3" s="23"/>
      <c r="R3" s="23"/>
      <c r="S3" s="23"/>
    </row>
    <row r="4" spans="1:19" s="20" customFormat="1" ht="12.75" customHeight="1">
      <c r="D4" s="48" t="s">
        <v>170</v>
      </c>
      <c r="E4" s="19" t="str">
        <f>VLOOKUP($K$1,'BMP info'!A:G,6,FALSE)</f>
        <v>efficiency treated</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5.333333333333333</v>
      </c>
      <c r="E13" s="29">
        <f t="shared" si="0"/>
        <v>1.7624521072796935</v>
      </c>
      <c r="F13" s="51">
        <f t="shared" si="0"/>
        <v>1262.0689655172414</v>
      </c>
      <c r="G13" s="305" t="s">
        <v>254</v>
      </c>
      <c r="H13" s="300"/>
      <c r="J13" s="24" t="s">
        <v>9</v>
      </c>
      <c r="K13" s="28">
        <f t="shared" ref="K13:M16" si="1">IF(K27*$D$34=0,"-",1000*K27/$D$34)</f>
        <v>3.1494252873563218</v>
      </c>
      <c r="L13" s="29">
        <f t="shared" si="1"/>
        <v>0.82758620689655171</v>
      </c>
      <c r="M13" s="51">
        <f t="shared" si="1"/>
        <v>832.9501915708812</v>
      </c>
      <c r="N13" s="305" t="s">
        <v>133</v>
      </c>
      <c r="O13" s="300"/>
    </row>
    <row r="14" spans="1:19">
      <c r="C14" s="24" t="s">
        <v>7</v>
      </c>
      <c r="D14" s="31">
        <f t="shared" si="0"/>
        <v>4.0153256704980844</v>
      </c>
      <c r="E14" s="32">
        <f t="shared" si="0"/>
        <v>1.264367816091954</v>
      </c>
      <c r="F14" s="52">
        <f t="shared" si="0"/>
        <v>862.06896551724139</v>
      </c>
      <c r="G14" s="301"/>
      <c r="H14" s="300"/>
      <c r="J14" s="24" t="s">
        <v>7</v>
      </c>
      <c r="K14" s="31">
        <f t="shared" si="1"/>
        <v>1.2030651340996168</v>
      </c>
      <c r="L14" s="32">
        <f t="shared" si="1"/>
        <v>0.50574712643678166</v>
      </c>
      <c r="M14" s="52">
        <f t="shared" si="1"/>
        <v>449.04214559386975</v>
      </c>
      <c r="N14" s="301"/>
      <c r="O14" s="300"/>
    </row>
    <row r="15" spans="1:19">
      <c r="C15" s="24" t="s">
        <v>8</v>
      </c>
      <c r="D15" s="31">
        <f t="shared" si="0"/>
        <v>5.333333333333333</v>
      </c>
      <c r="E15" s="32">
        <f t="shared" si="0"/>
        <v>1.7241379310344827</v>
      </c>
      <c r="F15" s="52">
        <f t="shared" si="0"/>
        <v>1043.6781609195402</v>
      </c>
      <c r="G15" s="301"/>
      <c r="H15" s="300"/>
      <c r="J15" s="24" t="s">
        <v>8</v>
      </c>
      <c r="K15" s="31">
        <f t="shared" si="1"/>
        <v>0.83524904214559392</v>
      </c>
      <c r="L15" s="32">
        <f t="shared" si="1"/>
        <v>0.51340996168582376</v>
      </c>
      <c r="M15" s="52">
        <f t="shared" si="1"/>
        <v>281.99233716475095</v>
      </c>
      <c r="N15" s="301"/>
      <c r="O15" s="300"/>
    </row>
    <row r="16" spans="1:19" ht="13.5" thickBot="1">
      <c r="C16" s="24" t="s">
        <v>6</v>
      </c>
      <c r="D16" s="34">
        <f t="shared" si="0"/>
        <v>1.7088122605363985</v>
      </c>
      <c r="E16" s="35">
        <f t="shared" si="0"/>
        <v>0.51340996168582376</v>
      </c>
      <c r="F16" s="53">
        <f t="shared" si="0"/>
        <v>228.35249042145594</v>
      </c>
      <c r="G16" s="301"/>
      <c r="H16" s="300"/>
      <c r="J16" s="24" t="s">
        <v>6</v>
      </c>
      <c r="K16" s="34">
        <f t="shared" si="1"/>
        <v>3.0651340996168581E-2</v>
      </c>
      <c r="L16" s="35">
        <f t="shared" si="1"/>
        <v>0.19923371647509577</v>
      </c>
      <c r="M16" s="53">
        <f t="shared" si="1"/>
        <v>114.94252873563218</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187.5</v>
      </c>
      <c r="E20" s="29">
        <f t="shared" si="2"/>
        <v>567.39130434782612</v>
      </c>
      <c r="F20" s="51">
        <f t="shared" si="2"/>
        <v>0.79234972677595628</v>
      </c>
      <c r="G20" s="305" t="s">
        <v>253</v>
      </c>
      <c r="H20" s="300"/>
      <c r="J20" s="24" t="s">
        <v>9</v>
      </c>
      <c r="K20" s="28">
        <f t="shared" ref="K20:M23" si="3">IF(K27=0,"-",$D$34/K27)</f>
        <v>317.51824817518246</v>
      </c>
      <c r="L20" s="29">
        <f t="shared" si="3"/>
        <v>1208.3333333333333</v>
      </c>
      <c r="M20" s="51">
        <f t="shared" si="3"/>
        <v>1.2005519779208831</v>
      </c>
      <c r="N20" s="305" t="s">
        <v>132</v>
      </c>
      <c r="O20" s="300"/>
    </row>
    <row r="21" spans="1:16">
      <c r="C21" s="24" t="s">
        <v>7</v>
      </c>
      <c r="D21" s="31">
        <f t="shared" si="2"/>
        <v>249.04580152671755</v>
      </c>
      <c r="E21" s="32">
        <f t="shared" si="2"/>
        <v>790.90909090909099</v>
      </c>
      <c r="F21" s="52">
        <f t="shared" si="2"/>
        <v>1.1599999999999999</v>
      </c>
      <c r="G21" s="301"/>
      <c r="H21" s="300"/>
      <c r="J21" s="24" t="s">
        <v>7</v>
      </c>
      <c r="K21" s="31">
        <f t="shared" si="3"/>
        <v>831.21019108280257</v>
      </c>
      <c r="L21" s="32">
        <f t="shared" si="3"/>
        <v>1977.2727272727273</v>
      </c>
      <c r="M21" s="52">
        <f t="shared" si="3"/>
        <v>2.2269624573378839</v>
      </c>
      <c r="N21" s="301"/>
      <c r="O21" s="300"/>
    </row>
    <row r="22" spans="1:16">
      <c r="C22" s="24" t="s">
        <v>8</v>
      </c>
      <c r="D22" s="31">
        <f t="shared" si="2"/>
        <v>187.5</v>
      </c>
      <c r="E22" s="32">
        <f t="shared" si="2"/>
        <v>580</v>
      </c>
      <c r="F22" s="52">
        <f t="shared" si="2"/>
        <v>0.95814977973568283</v>
      </c>
      <c r="G22" s="301"/>
      <c r="H22" s="300"/>
      <c r="J22" s="24" t="s">
        <v>8</v>
      </c>
      <c r="K22" s="31">
        <f t="shared" si="3"/>
        <v>1197.2477064220182</v>
      </c>
      <c r="L22" s="32">
        <f t="shared" si="3"/>
        <v>1947.7611940298507</v>
      </c>
      <c r="M22" s="52">
        <f t="shared" si="3"/>
        <v>3.5461956521739131</v>
      </c>
      <c r="N22" s="301"/>
      <c r="O22" s="300"/>
    </row>
    <row r="23" spans="1:16" ht="13.5" thickBot="1">
      <c r="C23" s="24" t="s">
        <v>6</v>
      </c>
      <c r="D23" s="34">
        <f t="shared" si="2"/>
        <v>585.2017937219731</v>
      </c>
      <c r="E23" s="35">
        <f t="shared" si="2"/>
        <v>1947.7611940298507</v>
      </c>
      <c r="F23" s="53">
        <f t="shared" si="2"/>
        <v>4.3791946308724832</v>
      </c>
      <c r="G23" s="301"/>
      <c r="H23" s="300"/>
      <c r="J23" s="24" t="s">
        <v>6</v>
      </c>
      <c r="K23" s="34">
        <f t="shared" si="3"/>
        <v>32625</v>
      </c>
      <c r="L23" s="35">
        <f t="shared" si="3"/>
        <v>5019.2307692307695</v>
      </c>
      <c r="M23" s="53">
        <f t="shared" si="3"/>
        <v>8.6999999999999993</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6.96</v>
      </c>
      <c r="E27" s="209">
        <v>2.2999999999999998</v>
      </c>
      <c r="F27" s="210">
        <v>1647</v>
      </c>
      <c r="G27" s="305" t="str">
        <f>"EOS pounds removed per '"&amp;E3&amp;"' of practice per year"</f>
        <v>EOS pounds removed per 'acre treated' of practice per year</v>
      </c>
      <c r="H27" s="300"/>
      <c r="J27" s="24" t="s">
        <v>9</v>
      </c>
      <c r="K27" s="56">
        <v>4.1100000000000003</v>
      </c>
      <c r="L27" s="209">
        <v>1.08</v>
      </c>
      <c r="M27" s="210">
        <v>1087</v>
      </c>
      <c r="N27" s="299" t="str">
        <f>"delivered pounds removed per '"&amp;E3&amp;"' of practice per year"</f>
        <v>delivered pounds removed per 'acre treated' of practice per year</v>
      </c>
      <c r="O27" s="300"/>
      <c r="P27" s="204"/>
    </row>
    <row r="28" spans="1:16">
      <c r="C28" s="24" t="s">
        <v>7</v>
      </c>
      <c r="D28" s="211">
        <v>5.24</v>
      </c>
      <c r="E28" s="212">
        <v>1.65</v>
      </c>
      <c r="F28" s="213">
        <v>1125</v>
      </c>
      <c r="G28" s="301"/>
      <c r="H28" s="300"/>
      <c r="J28" s="24" t="s">
        <v>7</v>
      </c>
      <c r="K28" s="57">
        <v>1.57</v>
      </c>
      <c r="L28" s="212">
        <v>0.66</v>
      </c>
      <c r="M28" s="213">
        <v>586</v>
      </c>
      <c r="N28" s="301"/>
      <c r="O28" s="300"/>
      <c r="P28" s="204"/>
    </row>
    <row r="29" spans="1:16">
      <c r="C29" s="24" t="s">
        <v>8</v>
      </c>
      <c r="D29" s="211">
        <v>6.96</v>
      </c>
      <c r="E29" s="212">
        <v>2.25</v>
      </c>
      <c r="F29" s="213">
        <v>1362</v>
      </c>
      <c r="G29" s="301"/>
      <c r="H29" s="300"/>
      <c r="J29" s="24" t="s">
        <v>8</v>
      </c>
      <c r="K29" s="57">
        <v>1.0900000000000001</v>
      </c>
      <c r="L29" s="212">
        <v>0.67</v>
      </c>
      <c r="M29" s="213">
        <v>368</v>
      </c>
      <c r="N29" s="301"/>
      <c r="O29" s="300"/>
      <c r="P29" s="204"/>
    </row>
    <row r="30" spans="1:16" ht="13.5" thickBot="1">
      <c r="C30" s="24" t="s">
        <v>6</v>
      </c>
      <c r="D30" s="214">
        <v>2.23</v>
      </c>
      <c r="E30" s="215">
        <v>0.67</v>
      </c>
      <c r="F30" s="216">
        <v>298</v>
      </c>
      <c r="G30" s="301"/>
      <c r="H30" s="300"/>
      <c r="J30" s="24" t="s">
        <v>6</v>
      </c>
      <c r="K30" s="58">
        <v>0.04</v>
      </c>
      <c r="L30" s="215">
        <v>0.26</v>
      </c>
      <c r="M30" s="216">
        <v>150</v>
      </c>
      <c r="N30" s="301"/>
      <c r="O30" s="300"/>
      <c r="P30" s="204"/>
    </row>
    <row r="31" spans="1:16" ht="13.5" thickBot="1"/>
    <row r="32" spans="1:16" s="42" customFormat="1">
      <c r="A32" s="86" t="s">
        <v>1</v>
      </c>
    </row>
    <row r="33" spans="1:12" ht="5.25" customHeight="1" thickBot="1"/>
    <row r="34" spans="1:12" ht="13.5" thickBot="1">
      <c r="C34" s="24" t="s">
        <v>11</v>
      </c>
      <c r="D34" s="46">
        <f>-PMT(D39,D38,D36)+D37</f>
        <v>1305</v>
      </c>
      <c r="E34" s="18" t="str">
        <f>"$ per '"&amp;E3&amp;"' of practice per year"</f>
        <v>$ per 'acre treated' of practice per year</v>
      </c>
      <c r="I34" s="82" t="s">
        <v>169</v>
      </c>
      <c r="J34" s="217" t="s">
        <v>160</v>
      </c>
      <c r="K34" s="218" t="s">
        <v>233</v>
      </c>
      <c r="L34" s="219" t="s">
        <v>165</v>
      </c>
    </row>
    <row r="35" spans="1:12" ht="5.25" customHeight="1" thickBot="1">
      <c r="C35" s="24"/>
      <c r="D35" s="47"/>
      <c r="E35" s="18"/>
      <c r="I35" s="78"/>
      <c r="J35" s="220"/>
      <c r="K35" s="220"/>
      <c r="L35" s="221"/>
    </row>
    <row r="36" spans="1:12">
      <c r="C36" s="24" t="s">
        <v>10</v>
      </c>
      <c r="D36" s="38">
        <f>L36</f>
        <v>26000</v>
      </c>
      <c r="E36" s="18" t="str">
        <f>"$ per '"&amp;E3&amp;"' of practice"</f>
        <v>$ per 'acre treated' of practice</v>
      </c>
      <c r="I36" s="78" t="s">
        <v>162</v>
      </c>
      <c r="J36" s="236">
        <v>26000</v>
      </c>
      <c r="K36" s="236">
        <v>26000</v>
      </c>
      <c r="L36" s="241">
        <f>AVERAGE(J36:K36)</f>
        <v>26000</v>
      </c>
    </row>
    <row r="37" spans="1:12">
      <c r="C37" s="24" t="s">
        <v>12</v>
      </c>
      <c r="D37" s="39">
        <f>L37</f>
        <v>5</v>
      </c>
      <c r="E37" s="18" t="str">
        <f>"$ per '"&amp;E3&amp;"' of practice per year"</f>
        <v>$ per 'acre treated' of practice per year</v>
      </c>
      <c r="I37" s="78" t="s">
        <v>161</v>
      </c>
      <c r="J37" s="236">
        <v>0</v>
      </c>
      <c r="K37" s="236">
        <v>10</v>
      </c>
      <c r="L37" s="241">
        <f>AVERAGE(J37:K37)</f>
        <v>5</v>
      </c>
    </row>
    <row r="38" spans="1:12">
      <c r="C38" s="24" t="s">
        <v>13</v>
      </c>
      <c r="D38" s="40">
        <f>L38</f>
        <v>20</v>
      </c>
      <c r="E38" s="18" t="s">
        <v>15</v>
      </c>
      <c r="I38" s="78" t="s">
        <v>163</v>
      </c>
      <c r="J38" s="245">
        <v>20</v>
      </c>
      <c r="K38" s="245">
        <v>20</v>
      </c>
      <c r="L38" s="247">
        <v>20</v>
      </c>
    </row>
    <row r="39" spans="1:12" ht="13.5" thickBot="1">
      <c r="C39" s="24" t="s">
        <v>14</v>
      </c>
      <c r="D39" s="41">
        <f>Summary!C35</f>
        <v>0</v>
      </c>
      <c r="E39" s="18" t="s">
        <v>16</v>
      </c>
      <c r="I39" s="80" t="s">
        <v>166</v>
      </c>
      <c r="J39" s="239">
        <f>J37+(J36/J38)</f>
        <v>1300</v>
      </c>
      <c r="K39" s="239">
        <f>K37+(K36/K38)</f>
        <v>1310</v>
      </c>
      <c r="L39" s="242">
        <f>L37+(L36/L38)</f>
        <v>1305</v>
      </c>
    </row>
    <row r="40" spans="1:12">
      <c r="F40" s="234"/>
    </row>
    <row r="41" spans="1:12">
      <c r="I41" s="304" t="s">
        <v>230</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70">
    <pageSetUpPr fitToPage="1"/>
  </sheetPr>
  <dimension ref="A1:V69"/>
  <sheetViews>
    <sheetView zoomScale="85" workbookViewId="0">
      <pane xSplit="4" ySplit="2" topLeftCell="E3" activePane="bottomRight" state="frozenSplit"/>
      <selection sqref="A1:B1"/>
      <selection pane="topRight" sqref="A1:B1"/>
      <selection pane="bottomLeft" sqref="A1:B1"/>
      <selection pane="bottomRight" activeCell="A69" sqref="A69"/>
    </sheetView>
  </sheetViews>
  <sheetFormatPr defaultRowHeight="12.75"/>
  <cols>
    <col min="1" max="1" width="7.7109375" style="1" bestFit="1" customWidth="1"/>
    <col min="2" max="2" width="9" style="1" customWidth="1"/>
    <col min="3" max="3" width="45.7109375" style="1" customWidth="1"/>
    <col min="4" max="4" width="21.140625" style="1" customWidth="1"/>
    <col min="5" max="5" width="4.28515625" style="17" customWidth="1"/>
    <col min="6" max="8" width="9.140625" style="59"/>
    <col min="9" max="9" width="20.28515625" style="1" bestFit="1" customWidth="1"/>
    <col min="10" max="10" width="4.28515625" style="17" customWidth="1"/>
    <col min="11" max="11" width="11.5703125" style="1" bestFit="1" customWidth="1"/>
    <col min="12" max="12" width="12.5703125" style="1" customWidth="1"/>
    <col min="13" max="13" width="4.28515625" style="17" customWidth="1"/>
    <col min="14" max="16" width="9.140625" style="59"/>
    <col min="17" max="17" width="8.85546875" style="1" bestFit="1" customWidth="1"/>
    <col min="18" max="18" width="4.28515625" style="17" customWidth="1"/>
    <col min="19" max="21" width="9.140625" style="59"/>
    <col min="22" max="22" width="5.5703125" style="1" bestFit="1" customWidth="1"/>
    <col min="23" max="16384" width="9.140625" style="1"/>
  </cols>
  <sheetData>
    <row r="1" spans="1:22" ht="16.5" thickBot="1">
      <c r="A1" s="294" t="s">
        <v>199</v>
      </c>
      <c r="B1" s="295"/>
      <c r="C1" s="297"/>
      <c r="D1" s="297"/>
      <c r="F1" s="294" t="s">
        <v>192</v>
      </c>
      <c r="G1" s="295"/>
      <c r="H1" s="297"/>
      <c r="I1" s="297"/>
      <c r="K1" s="294" t="s">
        <v>193</v>
      </c>
      <c r="L1" s="295"/>
      <c r="N1" s="294" t="s">
        <v>259</v>
      </c>
      <c r="O1" s="295"/>
      <c r="P1" s="295"/>
      <c r="Q1" s="296"/>
      <c r="S1" s="294" t="s">
        <v>194</v>
      </c>
      <c r="T1" s="295"/>
      <c r="U1" s="295"/>
      <c r="V1" s="296"/>
    </row>
    <row r="2" spans="1:22" s="60" customFormat="1" ht="13.5" thickBot="1">
      <c r="A2" s="121" t="s">
        <v>0</v>
      </c>
      <c r="B2" s="122" t="s">
        <v>68</v>
      </c>
      <c r="C2" s="123" t="s">
        <v>71</v>
      </c>
      <c r="D2" s="124" t="s">
        <v>72</v>
      </c>
      <c r="E2" s="18"/>
      <c r="F2" s="117" t="s">
        <v>181</v>
      </c>
      <c r="G2" s="118" t="s">
        <v>182</v>
      </c>
      <c r="H2" s="118" t="s">
        <v>183</v>
      </c>
      <c r="I2" s="119" t="s">
        <v>79</v>
      </c>
      <c r="J2" s="18"/>
      <c r="K2" s="120" t="s">
        <v>191</v>
      </c>
      <c r="L2" s="119" t="s">
        <v>79</v>
      </c>
      <c r="M2" s="18"/>
      <c r="N2" s="117" t="s">
        <v>181</v>
      </c>
      <c r="O2" s="118" t="s">
        <v>182</v>
      </c>
      <c r="P2" s="118" t="s">
        <v>183</v>
      </c>
      <c r="Q2" s="119" t="s">
        <v>79</v>
      </c>
      <c r="R2" s="18"/>
      <c r="S2" s="117" t="s">
        <v>181</v>
      </c>
      <c r="T2" s="118" t="s">
        <v>182</v>
      </c>
      <c r="U2" s="118" t="s">
        <v>183</v>
      </c>
      <c r="V2" s="119" t="s">
        <v>79</v>
      </c>
    </row>
    <row r="3" spans="1:22" ht="33.75">
      <c r="A3" s="7">
        <v>1</v>
      </c>
      <c r="B3" s="11" t="s">
        <v>60</v>
      </c>
      <c r="C3" s="71" t="s">
        <v>115</v>
      </c>
      <c r="D3" s="125" t="s">
        <v>116</v>
      </c>
      <c r="F3" s="69">
        <f>'1'!E$30</f>
        <v>0</v>
      </c>
      <c r="G3" s="70">
        <f>'1'!E$29</f>
        <v>0</v>
      </c>
      <c r="H3" s="70">
        <f>'1'!E$27</f>
        <v>0</v>
      </c>
      <c r="I3" s="115" t="str">
        <f>"pounds of TP reduced
per "&amp;'BMP info'!E2&amp;"
per year"</f>
        <v>pounds of TP reduced
per animal unit
per year</v>
      </c>
      <c r="J3" s="83"/>
      <c r="K3" s="104">
        <f>'1'!D$34</f>
        <v>5</v>
      </c>
      <c r="L3" s="115" t="str">
        <f>"per "&amp;'BMP info'!E2&amp;"
per year"</f>
        <v>per animal unit
per year</v>
      </c>
      <c r="M3" s="83"/>
      <c r="N3" s="76">
        <f t="shared" ref="N3:N31" si="0">IF($K3=0,"-",1000*F3/$K3)</f>
        <v>0</v>
      </c>
      <c r="O3" s="77">
        <f t="shared" ref="O3:O31" si="1">IF($K3=0,"-",1000*G3/$K3)</f>
        <v>0</v>
      </c>
      <c r="P3" s="77">
        <f t="shared" ref="P3:P31" si="2">IF($K3=0,"-",1000*H3/$K3)</f>
        <v>0</v>
      </c>
      <c r="Q3" s="115" t="s">
        <v>137</v>
      </c>
      <c r="R3" s="83"/>
      <c r="S3" s="106" t="str">
        <f t="shared" ref="S3:S34" si="3">IF($K3*H3=0,"-",$K3/H3)</f>
        <v>-</v>
      </c>
      <c r="T3" s="107" t="str">
        <f t="shared" ref="T3:T34" si="4">IF($K3*G3=0,"-",$K3/G3)</f>
        <v>-</v>
      </c>
      <c r="U3" s="107" t="str">
        <f t="shared" ref="U3:U34" si="5">IF($K3*F3=0,"-",$K3/F3)</f>
        <v>-</v>
      </c>
      <c r="V3" s="115" t="s">
        <v>190</v>
      </c>
    </row>
    <row r="4" spans="1:22" ht="33.75">
      <c r="A4" s="8">
        <v>2</v>
      </c>
      <c r="B4" s="12" t="s">
        <v>60</v>
      </c>
      <c r="C4" s="71" t="s">
        <v>75</v>
      </c>
      <c r="D4" s="66" t="s">
        <v>76</v>
      </c>
      <c r="F4" s="69">
        <f>'2'!E$30</f>
        <v>0</v>
      </c>
      <c r="G4" s="70">
        <f>'2'!E$29</f>
        <v>0</v>
      </c>
      <c r="H4" s="70">
        <f>'2'!E$27</f>
        <v>0</v>
      </c>
      <c r="I4" s="115" t="str">
        <f>"pounds of TP reduced
per "&amp;'BMP info'!E3&amp;"
per year"</f>
        <v>pounds of TP reduced
per animal unit
per year</v>
      </c>
      <c r="J4" s="83"/>
      <c r="K4" s="104">
        <f>'2'!D$34</f>
        <v>23.2</v>
      </c>
      <c r="L4" s="115" t="str">
        <f>"per "&amp;'BMP info'!E3&amp;"
per year"</f>
        <v>per animal unit
per year</v>
      </c>
      <c r="M4" s="83"/>
      <c r="N4" s="76">
        <f t="shared" si="0"/>
        <v>0</v>
      </c>
      <c r="O4" s="77">
        <f t="shared" si="1"/>
        <v>0</v>
      </c>
      <c r="P4" s="77">
        <f t="shared" si="2"/>
        <v>0</v>
      </c>
      <c r="Q4" s="115" t="s">
        <v>137</v>
      </c>
      <c r="R4" s="83"/>
      <c r="S4" s="106" t="str">
        <f t="shared" si="3"/>
        <v>-</v>
      </c>
      <c r="T4" s="107" t="str">
        <f t="shared" si="4"/>
        <v>-</v>
      </c>
      <c r="U4" s="107" t="str">
        <f t="shared" si="5"/>
        <v>-</v>
      </c>
      <c r="V4" s="115" t="s">
        <v>190</v>
      </c>
    </row>
    <row r="5" spans="1:22" ht="33.75">
      <c r="A5" s="8">
        <v>3</v>
      </c>
      <c r="B5" s="12" t="s">
        <v>60</v>
      </c>
      <c r="C5" s="71" t="s">
        <v>77</v>
      </c>
      <c r="D5" s="66" t="s">
        <v>78</v>
      </c>
      <c r="F5" s="73">
        <f>'3'!E$30</f>
        <v>0.86</v>
      </c>
      <c r="G5" s="74">
        <f>'3'!E$29</f>
        <v>3.46</v>
      </c>
      <c r="H5" s="74">
        <f>'3'!E$27</f>
        <v>7.01</v>
      </c>
      <c r="I5" s="115" t="str">
        <f>"pounds of TP reduced
per "&amp;'BMP info'!E4&amp;"
per year"</f>
        <v>pounds of TP reduced
per acre
per year</v>
      </c>
      <c r="J5" s="83"/>
      <c r="K5" s="103">
        <f>'3'!D$34</f>
        <v>570</v>
      </c>
      <c r="L5" s="115" t="str">
        <f>"per "&amp;'BMP info'!E4&amp;"
per year"</f>
        <v>per acre
per year</v>
      </c>
      <c r="M5" s="83"/>
      <c r="N5" s="62">
        <f t="shared" si="0"/>
        <v>1.5087719298245614</v>
      </c>
      <c r="O5" s="63">
        <f t="shared" si="1"/>
        <v>6.0701754385964914</v>
      </c>
      <c r="P5" s="63">
        <f t="shared" si="2"/>
        <v>12.298245614035087</v>
      </c>
      <c r="Q5" s="115" t="s">
        <v>137</v>
      </c>
      <c r="R5" s="83"/>
      <c r="S5" s="108">
        <f t="shared" si="3"/>
        <v>81.312410841654781</v>
      </c>
      <c r="T5" s="109">
        <f t="shared" si="4"/>
        <v>164.73988439306359</v>
      </c>
      <c r="U5" s="109">
        <f t="shared" si="5"/>
        <v>662.79069767441865</v>
      </c>
      <c r="V5" s="115" t="s">
        <v>190</v>
      </c>
    </row>
    <row r="6" spans="1:22" ht="33.75">
      <c r="A6" s="8">
        <v>4</v>
      </c>
      <c r="B6" s="12" t="s">
        <v>60</v>
      </c>
      <c r="C6" s="71" t="s">
        <v>98</v>
      </c>
      <c r="D6" s="66" t="s">
        <v>99</v>
      </c>
      <c r="F6" s="73">
        <f>'4'!E$30</f>
        <v>29.25</v>
      </c>
      <c r="G6" s="74">
        <f>'4'!E$29</f>
        <v>32.450000000000003</v>
      </c>
      <c r="H6" s="74">
        <f>'4'!E$27</f>
        <v>47.99</v>
      </c>
      <c r="I6" s="115" t="str">
        <f>"pounds of TP reduced
per "&amp;'BMP info'!E5&amp;"
per year"</f>
        <v>pounds of TP reduced
per acre
per year</v>
      </c>
      <c r="J6" s="83"/>
      <c r="K6" s="104">
        <f>'4'!D$34</f>
        <v>500</v>
      </c>
      <c r="L6" s="115" t="str">
        <f>"per "&amp;'BMP info'!E5&amp;"
per year"</f>
        <v>per acre
per year</v>
      </c>
      <c r="M6" s="83"/>
      <c r="N6" s="84">
        <f t="shared" si="0"/>
        <v>58.5</v>
      </c>
      <c r="O6" s="85">
        <f t="shared" si="1"/>
        <v>64.900000000000006</v>
      </c>
      <c r="P6" s="85">
        <f t="shared" si="2"/>
        <v>95.98</v>
      </c>
      <c r="Q6" s="115" t="s">
        <v>137</v>
      </c>
      <c r="R6" s="83"/>
      <c r="S6" s="110">
        <f t="shared" si="3"/>
        <v>10.418837257762034</v>
      </c>
      <c r="T6" s="111">
        <f t="shared" si="4"/>
        <v>15.408320493066254</v>
      </c>
      <c r="U6" s="111">
        <f t="shared" si="5"/>
        <v>17.094017094017094</v>
      </c>
      <c r="V6" s="115" t="s">
        <v>190</v>
      </c>
    </row>
    <row r="7" spans="1:22" ht="33.75">
      <c r="A7" s="8">
        <v>5</v>
      </c>
      <c r="B7" s="12" t="s">
        <v>60</v>
      </c>
      <c r="C7" s="71" t="s">
        <v>73</v>
      </c>
      <c r="D7" s="66" t="s">
        <v>74</v>
      </c>
      <c r="F7" s="73">
        <f>'5'!E$30</f>
        <v>0.46</v>
      </c>
      <c r="G7" s="74">
        <f>'5'!E$29</f>
        <v>0.46</v>
      </c>
      <c r="H7" s="74">
        <f>'5'!E$27</f>
        <v>0.57999999999999996</v>
      </c>
      <c r="I7" s="115" t="str">
        <f>"pounds of TP reduced
per "&amp;'BMP info'!E6&amp;"
per year"</f>
        <v>pounds of TP reduced
per acre
per year</v>
      </c>
      <c r="J7" s="83"/>
      <c r="K7" s="104">
        <f>'5'!D$34</f>
        <v>18.100000000000001</v>
      </c>
      <c r="L7" s="115" t="str">
        <f>"per "&amp;'BMP info'!E6&amp;"
per year"</f>
        <v>per acre
per year</v>
      </c>
      <c r="M7" s="83"/>
      <c r="N7" s="84">
        <f t="shared" si="0"/>
        <v>25.414364640883974</v>
      </c>
      <c r="O7" s="85">
        <f t="shared" si="1"/>
        <v>25.414364640883974</v>
      </c>
      <c r="P7" s="85">
        <f t="shared" si="2"/>
        <v>32.04419889502762</v>
      </c>
      <c r="Q7" s="115" t="s">
        <v>137</v>
      </c>
      <c r="R7" s="83"/>
      <c r="S7" s="110">
        <f t="shared" si="3"/>
        <v>31.206896551724142</v>
      </c>
      <c r="T7" s="111">
        <f t="shared" si="4"/>
        <v>39.347826086956523</v>
      </c>
      <c r="U7" s="111">
        <f t="shared" si="5"/>
        <v>39.347826086956523</v>
      </c>
      <c r="V7" s="115" t="s">
        <v>190</v>
      </c>
    </row>
    <row r="8" spans="1:22" ht="33.75">
      <c r="A8" s="8">
        <v>6</v>
      </c>
      <c r="B8" s="12" t="s">
        <v>60</v>
      </c>
      <c r="C8" s="71" t="s">
        <v>94</v>
      </c>
      <c r="D8" s="66" t="s">
        <v>95</v>
      </c>
      <c r="F8" s="73">
        <f>'6'!E$30</f>
        <v>28.58</v>
      </c>
      <c r="G8" s="74">
        <f>'6'!E$29</f>
        <v>54.04</v>
      </c>
      <c r="H8" s="74">
        <f>'6'!E$27</f>
        <v>92.49</v>
      </c>
      <c r="I8" s="115" t="str">
        <f>"pounds of TP reduced
per "&amp;'BMP info'!E7&amp;"
per year"</f>
        <v>pounds of TP reduced
per acre
per year</v>
      </c>
      <c r="J8" s="83"/>
      <c r="K8" s="104">
        <f>'6'!D$34</f>
        <v>350</v>
      </c>
      <c r="L8" s="115" t="str">
        <f>"per "&amp;'BMP info'!E7&amp;"
per year"</f>
        <v>per acre
per year</v>
      </c>
      <c r="M8" s="83"/>
      <c r="N8" s="84">
        <f t="shared" si="0"/>
        <v>81.657142857142858</v>
      </c>
      <c r="O8" s="85">
        <f t="shared" si="1"/>
        <v>154.4</v>
      </c>
      <c r="P8" s="85">
        <f t="shared" si="2"/>
        <v>264.25714285714287</v>
      </c>
      <c r="Q8" s="115" t="s">
        <v>137</v>
      </c>
      <c r="R8" s="83"/>
      <c r="S8" s="110">
        <f t="shared" si="3"/>
        <v>3.784192885717375</v>
      </c>
      <c r="T8" s="111">
        <f t="shared" si="4"/>
        <v>6.4766839378238341</v>
      </c>
      <c r="U8" s="111">
        <f t="shared" si="5"/>
        <v>12.24632610216935</v>
      </c>
      <c r="V8" s="115" t="s">
        <v>190</v>
      </c>
    </row>
    <row r="9" spans="1:22" ht="33.75">
      <c r="A9" s="8">
        <v>7</v>
      </c>
      <c r="B9" s="12" t="s">
        <v>60</v>
      </c>
      <c r="C9" s="71" t="s">
        <v>123</v>
      </c>
      <c r="D9" s="66" t="s">
        <v>124</v>
      </c>
      <c r="F9" s="73">
        <f>'7'!E$30</f>
        <v>0.03</v>
      </c>
      <c r="G9" s="74">
        <f>'7'!E$29</f>
        <v>7.0000000000000007E-2</v>
      </c>
      <c r="H9" s="74">
        <f>'7'!E$27</f>
        <v>0.19</v>
      </c>
      <c r="I9" s="115" t="str">
        <f>"pounds of TP reduced
per "&amp;'BMP info'!E8&amp;"
per year"</f>
        <v>pounds of TP reduced
per acre
per year</v>
      </c>
      <c r="J9" s="83"/>
      <c r="K9" s="103">
        <f>'7'!D$34</f>
        <v>45</v>
      </c>
      <c r="L9" s="115" t="str">
        <f>"per "&amp;'BMP info'!E8&amp;"
per year"</f>
        <v>per acre
per year</v>
      </c>
      <c r="M9" s="83"/>
      <c r="N9" s="62">
        <f t="shared" si="0"/>
        <v>0.66666666666666663</v>
      </c>
      <c r="O9" s="63">
        <f t="shared" si="1"/>
        <v>1.5555555555555556</v>
      </c>
      <c r="P9" s="63">
        <f t="shared" si="2"/>
        <v>4.2222222222222223</v>
      </c>
      <c r="Q9" s="115" t="s">
        <v>137</v>
      </c>
      <c r="R9" s="83"/>
      <c r="S9" s="108">
        <f t="shared" si="3"/>
        <v>236.84210526315789</v>
      </c>
      <c r="T9" s="109">
        <f t="shared" si="4"/>
        <v>642.85714285714278</v>
      </c>
      <c r="U9" s="109">
        <f t="shared" si="5"/>
        <v>1500</v>
      </c>
      <c r="V9" s="115" t="s">
        <v>190</v>
      </c>
    </row>
    <row r="10" spans="1:22" ht="33.75">
      <c r="A10" s="8">
        <v>8</v>
      </c>
      <c r="B10" s="12" t="s">
        <v>60</v>
      </c>
      <c r="C10" s="71" t="s">
        <v>188</v>
      </c>
      <c r="D10" s="66" t="s">
        <v>187</v>
      </c>
      <c r="F10" s="73">
        <f>'8'!E$30</f>
        <v>0.01</v>
      </c>
      <c r="G10" s="74">
        <f>'8'!E$29</f>
        <v>0.06</v>
      </c>
      <c r="H10" s="74">
        <f>'8'!E$27</f>
        <v>0.12</v>
      </c>
      <c r="I10" s="115" t="str">
        <f>"pounds of TP reduced
per "&amp;'BMP info'!E9&amp;"
per year"</f>
        <v>pounds of TP reduced
per acre
per year</v>
      </c>
      <c r="J10" s="83"/>
      <c r="K10" s="103">
        <f>'8'!D$34</f>
        <v>23</v>
      </c>
      <c r="L10" s="115" t="str">
        <f>"per "&amp;'BMP info'!E9&amp;"
per year"</f>
        <v>per acre
per year</v>
      </c>
      <c r="M10" s="83"/>
      <c r="N10" s="62">
        <f t="shared" si="0"/>
        <v>0.43478260869565216</v>
      </c>
      <c r="O10" s="63">
        <f t="shared" si="1"/>
        <v>2.6086956521739131</v>
      </c>
      <c r="P10" s="63">
        <f t="shared" si="2"/>
        <v>5.2173913043478262</v>
      </c>
      <c r="Q10" s="115" t="s">
        <v>137</v>
      </c>
      <c r="R10" s="83"/>
      <c r="S10" s="108">
        <f t="shared" si="3"/>
        <v>191.66666666666669</v>
      </c>
      <c r="T10" s="109">
        <f t="shared" si="4"/>
        <v>383.33333333333337</v>
      </c>
      <c r="U10" s="109">
        <f t="shared" si="5"/>
        <v>2300</v>
      </c>
      <c r="V10" s="115" t="s">
        <v>190</v>
      </c>
    </row>
    <row r="11" spans="1:22" ht="33.75">
      <c r="A11" s="8">
        <v>9</v>
      </c>
      <c r="B11" s="12" t="s">
        <v>60</v>
      </c>
      <c r="C11" s="71" t="s">
        <v>80</v>
      </c>
      <c r="D11" s="66" t="s">
        <v>81</v>
      </c>
      <c r="F11" s="73">
        <f>'9'!E$30</f>
        <v>0.01</v>
      </c>
      <c r="G11" s="74">
        <f>'9'!E$29</f>
        <v>0.01</v>
      </c>
      <c r="H11" s="74">
        <f>'9'!E$27</f>
        <v>0.06</v>
      </c>
      <c r="I11" s="115" t="str">
        <f>"pounds of TP reduced
per "&amp;'BMP info'!E10&amp;"
per year"</f>
        <v>pounds of TP reduced
per acre
per year</v>
      </c>
      <c r="J11" s="83"/>
      <c r="K11" s="103">
        <f>'9'!D$34</f>
        <v>50.42</v>
      </c>
      <c r="L11" s="115" t="str">
        <f>"per "&amp;'BMP info'!E10&amp;"
per year"</f>
        <v>per acre
per year</v>
      </c>
      <c r="M11" s="83"/>
      <c r="N11" s="62">
        <f t="shared" si="0"/>
        <v>0.19833399444664815</v>
      </c>
      <c r="O11" s="63">
        <f t="shared" si="1"/>
        <v>0.19833399444664815</v>
      </c>
      <c r="P11" s="63">
        <f t="shared" si="2"/>
        <v>1.1900039666798889</v>
      </c>
      <c r="Q11" s="115" t="s">
        <v>137</v>
      </c>
      <c r="R11" s="83"/>
      <c r="S11" s="108">
        <f t="shared" si="3"/>
        <v>840.33333333333337</v>
      </c>
      <c r="T11" s="109">
        <f t="shared" si="4"/>
        <v>5042</v>
      </c>
      <c r="U11" s="109">
        <f t="shared" si="5"/>
        <v>5042</v>
      </c>
      <c r="V11" s="115" t="s">
        <v>190</v>
      </c>
    </row>
    <row r="12" spans="1:22" ht="33.75">
      <c r="A12" s="8">
        <v>10</v>
      </c>
      <c r="B12" s="12" t="s">
        <v>60</v>
      </c>
      <c r="C12" s="71" t="s">
        <v>82</v>
      </c>
      <c r="D12" s="66" t="s">
        <v>83</v>
      </c>
      <c r="F12" s="73">
        <f>'10'!E$30</f>
        <v>0</v>
      </c>
      <c r="G12" s="74">
        <f>'10'!E$29</f>
        <v>0</v>
      </c>
      <c r="H12" s="74">
        <f>'10'!E$27</f>
        <v>0</v>
      </c>
      <c r="I12" s="115" t="str">
        <f>"pounds of TP reduced
per "&amp;'BMP info'!E11&amp;"
per year"</f>
        <v>pounds of TP reduced
per acre
per year</v>
      </c>
      <c r="J12" s="83"/>
      <c r="K12" s="103">
        <f>'10'!D$34</f>
        <v>960</v>
      </c>
      <c r="L12" s="115" t="str">
        <f>"per "&amp;'BMP info'!E11&amp;"
per year"</f>
        <v>per acre
per year</v>
      </c>
      <c r="M12" s="83"/>
      <c r="N12" s="62">
        <f t="shared" si="0"/>
        <v>0</v>
      </c>
      <c r="O12" s="63">
        <f t="shared" si="1"/>
        <v>0</v>
      </c>
      <c r="P12" s="63">
        <f t="shared" si="2"/>
        <v>0</v>
      </c>
      <c r="Q12" s="115" t="s">
        <v>137</v>
      </c>
      <c r="R12" s="83"/>
      <c r="S12" s="108" t="str">
        <f t="shared" si="3"/>
        <v>-</v>
      </c>
      <c r="T12" s="109" t="str">
        <f t="shared" si="4"/>
        <v>-</v>
      </c>
      <c r="U12" s="109" t="str">
        <f t="shared" si="5"/>
        <v>-</v>
      </c>
      <c r="V12" s="115" t="s">
        <v>190</v>
      </c>
    </row>
    <row r="13" spans="1:22" ht="33.75">
      <c r="A13" s="8">
        <v>11</v>
      </c>
      <c r="B13" s="12" t="s">
        <v>60</v>
      </c>
      <c r="C13" s="71" t="s">
        <v>86</v>
      </c>
      <c r="D13" s="66" t="s">
        <v>87</v>
      </c>
      <c r="F13" s="73">
        <f>'11'!E$30</f>
        <v>0.02</v>
      </c>
      <c r="G13" s="74">
        <f>'11'!E$29</f>
        <v>0.06</v>
      </c>
      <c r="H13" s="74">
        <f>'11'!E$27</f>
        <v>0.16</v>
      </c>
      <c r="I13" s="115" t="str">
        <f>"pounds of TP reduced
per "&amp;'BMP info'!E12&amp;"
per year"</f>
        <v>pounds of TP reduced
per acre
per year</v>
      </c>
      <c r="J13" s="83"/>
      <c r="K13" s="103">
        <f>'11'!D$34</f>
        <v>13.712</v>
      </c>
      <c r="L13" s="115" t="str">
        <f>"per "&amp;'BMP info'!E12&amp;"
per year"</f>
        <v>per acre
per year</v>
      </c>
      <c r="M13" s="83"/>
      <c r="N13" s="62">
        <f t="shared" si="0"/>
        <v>1.4585764294049008</v>
      </c>
      <c r="O13" s="63">
        <f t="shared" si="1"/>
        <v>4.3757292882147025</v>
      </c>
      <c r="P13" s="63">
        <f t="shared" si="2"/>
        <v>11.668611435239207</v>
      </c>
      <c r="Q13" s="115" t="s">
        <v>137</v>
      </c>
      <c r="R13" s="83"/>
      <c r="S13" s="108">
        <f t="shared" si="3"/>
        <v>85.7</v>
      </c>
      <c r="T13" s="109">
        <f t="shared" si="4"/>
        <v>228.53333333333333</v>
      </c>
      <c r="U13" s="109">
        <f t="shared" si="5"/>
        <v>685.6</v>
      </c>
      <c r="V13" s="115" t="s">
        <v>190</v>
      </c>
    </row>
    <row r="14" spans="1:22" ht="33.75">
      <c r="A14" s="8">
        <v>12</v>
      </c>
      <c r="B14" s="12" t="s">
        <v>60</v>
      </c>
      <c r="C14" s="71" t="s">
        <v>65</v>
      </c>
      <c r="D14" s="66" t="s">
        <v>125</v>
      </c>
      <c r="F14" s="73">
        <f>'12'!E$30</f>
        <v>0.15</v>
      </c>
      <c r="G14" s="74">
        <f>'12'!E$29</f>
        <v>0.46</v>
      </c>
      <c r="H14" s="74">
        <f>'12'!E$27</f>
        <v>0.86</v>
      </c>
      <c r="I14" s="115" t="str">
        <f>"pounds of TP reduced
per "&amp;'BMP info'!E13&amp;"
per year"</f>
        <v>pounds of TP reduced
per acre
per year</v>
      </c>
      <c r="J14" s="83"/>
      <c r="K14" s="103">
        <f>'12'!D$34</f>
        <v>125</v>
      </c>
      <c r="L14" s="115" t="str">
        <f>"per "&amp;'BMP info'!E13&amp;"
per year"</f>
        <v>per acre
per year</v>
      </c>
      <c r="M14" s="83"/>
      <c r="N14" s="62">
        <f t="shared" si="0"/>
        <v>1.2</v>
      </c>
      <c r="O14" s="63">
        <f t="shared" si="1"/>
        <v>3.68</v>
      </c>
      <c r="P14" s="63">
        <f t="shared" si="2"/>
        <v>6.88</v>
      </c>
      <c r="Q14" s="115" t="s">
        <v>137</v>
      </c>
      <c r="R14" s="83"/>
      <c r="S14" s="108">
        <f t="shared" si="3"/>
        <v>145.34883720930233</v>
      </c>
      <c r="T14" s="109">
        <f t="shared" si="4"/>
        <v>271.73913043478262</v>
      </c>
      <c r="U14" s="109">
        <f t="shared" si="5"/>
        <v>833.33333333333337</v>
      </c>
      <c r="V14" s="115" t="s">
        <v>190</v>
      </c>
    </row>
    <row r="15" spans="1:22" ht="33.75">
      <c r="A15" s="8">
        <v>13</v>
      </c>
      <c r="B15" s="12" t="s">
        <v>60</v>
      </c>
      <c r="C15" s="71" t="s">
        <v>88</v>
      </c>
      <c r="D15" s="66" t="s">
        <v>89</v>
      </c>
      <c r="F15" s="73">
        <f>'13'!E$30</f>
        <v>0.02</v>
      </c>
      <c r="G15" s="74">
        <f>'13'!E$29</f>
        <v>0.06</v>
      </c>
      <c r="H15" s="74">
        <f>'13'!E$27</f>
        <v>0.17</v>
      </c>
      <c r="I15" s="115" t="str">
        <f>"pounds of TP reduced
per "&amp;'BMP info'!E14&amp;"
per year"</f>
        <v>pounds of TP reduced
per acre
per year</v>
      </c>
      <c r="J15" s="83"/>
      <c r="K15" s="103">
        <f>'13'!D$34</f>
        <v>10</v>
      </c>
      <c r="L15" s="115" t="str">
        <f>"per "&amp;'BMP info'!E14&amp;"
per year"</f>
        <v>per acre
per year</v>
      </c>
      <c r="M15" s="83"/>
      <c r="N15" s="62">
        <f t="shared" si="0"/>
        <v>2</v>
      </c>
      <c r="O15" s="63">
        <f t="shared" si="1"/>
        <v>6</v>
      </c>
      <c r="P15" s="63">
        <f t="shared" si="2"/>
        <v>17</v>
      </c>
      <c r="Q15" s="115" t="s">
        <v>137</v>
      </c>
      <c r="R15" s="83"/>
      <c r="S15" s="108">
        <f t="shared" si="3"/>
        <v>58.823529411764703</v>
      </c>
      <c r="T15" s="109">
        <f t="shared" si="4"/>
        <v>166.66666666666669</v>
      </c>
      <c r="U15" s="109">
        <f t="shared" si="5"/>
        <v>500</v>
      </c>
      <c r="V15" s="115" t="s">
        <v>190</v>
      </c>
    </row>
    <row r="16" spans="1:22" ht="33.75">
      <c r="A16" s="8">
        <v>14</v>
      </c>
      <c r="B16" s="12" t="s">
        <v>60</v>
      </c>
      <c r="C16" s="71" t="s">
        <v>90</v>
      </c>
      <c r="D16" s="66" t="s">
        <v>91</v>
      </c>
      <c r="F16" s="73">
        <f>'14'!E$30</f>
        <v>0.65</v>
      </c>
      <c r="G16" s="74">
        <f>'14'!E$29</f>
        <v>1.86</v>
      </c>
      <c r="H16" s="74">
        <f>'14'!E$27</f>
        <v>3.69</v>
      </c>
      <c r="I16" s="115" t="str">
        <f>"pounds of TP reduced
per "&amp;'BMP info'!E15&amp;"
per year"</f>
        <v>pounds of TP reduced
per acre
per year</v>
      </c>
      <c r="J16" s="83"/>
      <c r="K16" s="103">
        <f>'14'!D$34</f>
        <v>353</v>
      </c>
      <c r="L16" s="115" t="str">
        <f>"per "&amp;'BMP info'!E15&amp;"
per year"</f>
        <v>per acre
per year</v>
      </c>
      <c r="M16" s="83"/>
      <c r="N16" s="62">
        <f t="shared" si="0"/>
        <v>1.8413597733711049</v>
      </c>
      <c r="O16" s="63">
        <f t="shared" si="1"/>
        <v>5.2691218130311617</v>
      </c>
      <c r="P16" s="63">
        <f t="shared" si="2"/>
        <v>10.453257790368271</v>
      </c>
      <c r="Q16" s="115" t="s">
        <v>137</v>
      </c>
      <c r="R16" s="83"/>
      <c r="S16" s="108">
        <f t="shared" si="3"/>
        <v>95.663956639566393</v>
      </c>
      <c r="T16" s="109">
        <f t="shared" si="4"/>
        <v>189.78494623655914</v>
      </c>
      <c r="U16" s="109">
        <f t="shared" si="5"/>
        <v>543.07692307692309</v>
      </c>
      <c r="V16" s="115" t="s">
        <v>190</v>
      </c>
    </row>
    <row r="17" spans="1:22" ht="33.75">
      <c r="A17" s="8">
        <v>15</v>
      </c>
      <c r="B17" s="12" t="s">
        <v>60</v>
      </c>
      <c r="C17" s="71" t="s">
        <v>92</v>
      </c>
      <c r="D17" s="66" t="s">
        <v>93</v>
      </c>
      <c r="F17" s="73">
        <f>'15'!E$30</f>
        <v>0.87</v>
      </c>
      <c r="G17" s="74">
        <f>'15'!E$29</f>
        <v>1.24</v>
      </c>
      <c r="H17" s="74">
        <f>'15'!E$27</f>
        <v>2.42</v>
      </c>
      <c r="I17" s="115" t="str">
        <f>"pounds of TP reduced
per "&amp;'BMP info'!E16&amp;"
per year"</f>
        <v>pounds of TP reduced
per acre
per year</v>
      </c>
      <c r="J17" s="83"/>
      <c r="K17" s="103">
        <f>'15'!D$34</f>
        <v>210.56666666666666</v>
      </c>
      <c r="L17" s="115" t="str">
        <f>"per "&amp;'BMP info'!E16&amp;"
per year"</f>
        <v>per acre
per year</v>
      </c>
      <c r="M17" s="83"/>
      <c r="N17" s="62">
        <f t="shared" si="0"/>
        <v>4.1317080892828875</v>
      </c>
      <c r="O17" s="63">
        <f t="shared" si="1"/>
        <v>5.8888712996675636</v>
      </c>
      <c r="P17" s="63">
        <f t="shared" si="2"/>
        <v>11.492797213867343</v>
      </c>
      <c r="Q17" s="115" t="s">
        <v>137</v>
      </c>
      <c r="R17" s="83"/>
      <c r="S17" s="108">
        <f t="shared" si="3"/>
        <v>87.011019283746563</v>
      </c>
      <c r="T17" s="109">
        <f t="shared" si="4"/>
        <v>169.81182795698925</v>
      </c>
      <c r="U17" s="109">
        <f t="shared" si="5"/>
        <v>242.03065134099617</v>
      </c>
      <c r="V17" s="115" t="s">
        <v>190</v>
      </c>
    </row>
    <row r="18" spans="1:22" ht="33.75">
      <c r="A18" s="8">
        <v>16</v>
      </c>
      <c r="B18" s="12" t="s">
        <v>60</v>
      </c>
      <c r="C18" s="71" t="s">
        <v>96</v>
      </c>
      <c r="D18" s="66" t="s">
        <v>97</v>
      </c>
      <c r="F18" s="73">
        <f>'16'!E$30</f>
        <v>0.01</v>
      </c>
      <c r="G18" s="74">
        <f>'16'!E$29</f>
        <v>0.1</v>
      </c>
      <c r="H18" s="74">
        <f>'16'!E$27</f>
        <v>0.27</v>
      </c>
      <c r="I18" s="115" t="str">
        <f>"pounds of TP reduced
per "&amp;'BMP info'!E17&amp;"
per year"</f>
        <v>pounds of TP reduced
per acre
per year</v>
      </c>
      <c r="J18" s="83"/>
      <c r="K18" s="103">
        <f>'16'!D$34</f>
        <v>600</v>
      </c>
      <c r="L18" s="115" t="str">
        <f>"per "&amp;'BMP info'!E17&amp;"
per year"</f>
        <v>per acre
per year</v>
      </c>
      <c r="M18" s="83"/>
      <c r="N18" s="62">
        <f t="shared" si="0"/>
        <v>1.6666666666666666E-2</v>
      </c>
      <c r="O18" s="63">
        <f t="shared" si="1"/>
        <v>0.16666666666666666</v>
      </c>
      <c r="P18" s="63">
        <f t="shared" si="2"/>
        <v>0.45</v>
      </c>
      <c r="Q18" s="115" t="s">
        <v>137</v>
      </c>
      <c r="R18" s="83"/>
      <c r="S18" s="108">
        <f t="shared" si="3"/>
        <v>2222.2222222222222</v>
      </c>
      <c r="T18" s="109">
        <f t="shared" si="4"/>
        <v>6000</v>
      </c>
      <c r="U18" s="109">
        <f t="shared" si="5"/>
        <v>60000</v>
      </c>
      <c r="V18" s="115" t="s">
        <v>190</v>
      </c>
    </row>
    <row r="19" spans="1:22" ht="33.75">
      <c r="A19" s="8">
        <v>17</v>
      </c>
      <c r="B19" s="12" t="s">
        <v>60</v>
      </c>
      <c r="C19" s="71" t="s">
        <v>100</v>
      </c>
      <c r="D19" s="66" t="s">
        <v>101</v>
      </c>
      <c r="F19" s="73">
        <f>'17'!E$30</f>
        <v>0.34</v>
      </c>
      <c r="G19" s="74">
        <f>'17'!E$29</f>
        <v>0.54</v>
      </c>
      <c r="H19" s="74">
        <f>'17'!E$27</f>
        <v>1.04</v>
      </c>
      <c r="I19" s="115" t="str">
        <f>"pounds of TP reduced
per "&amp;'BMP info'!E18&amp;"
per year"</f>
        <v>pounds of TP reduced
per acre
per year</v>
      </c>
      <c r="J19" s="83"/>
      <c r="K19" s="103">
        <f>'17'!D$34</f>
        <v>158.2175</v>
      </c>
      <c r="L19" s="115" t="str">
        <f>"per "&amp;'BMP info'!E18&amp;"
per year"</f>
        <v>per acre
per year</v>
      </c>
      <c r="M19" s="83"/>
      <c r="N19" s="62">
        <f t="shared" si="0"/>
        <v>2.1489405407113624</v>
      </c>
      <c r="O19" s="63">
        <f t="shared" si="1"/>
        <v>3.4130232117180461</v>
      </c>
      <c r="P19" s="63">
        <f t="shared" si="2"/>
        <v>6.5732298892347556</v>
      </c>
      <c r="Q19" s="115" t="s">
        <v>137</v>
      </c>
      <c r="R19" s="83"/>
      <c r="S19" s="108">
        <f t="shared" si="3"/>
        <v>152.13221153846155</v>
      </c>
      <c r="T19" s="109">
        <f t="shared" si="4"/>
        <v>292.99537037037038</v>
      </c>
      <c r="U19" s="109">
        <f t="shared" si="5"/>
        <v>465.34558823529409</v>
      </c>
      <c r="V19" s="115" t="s">
        <v>190</v>
      </c>
    </row>
    <row r="20" spans="1:22" ht="33.75">
      <c r="A20" s="8">
        <v>18</v>
      </c>
      <c r="B20" s="12" t="s">
        <v>60</v>
      </c>
      <c r="C20" s="71" t="s">
        <v>102</v>
      </c>
      <c r="D20" s="66" t="s">
        <v>103</v>
      </c>
      <c r="F20" s="73">
        <f>'18'!E$30</f>
        <v>0.1</v>
      </c>
      <c r="G20" s="74">
        <f>'18'!E$29</f>
        <v>0.2</v>
      </c>
      <c r="H20" s="74">
        <f>'18'!E$27</f>
        <v>0.42</v>
      </c>
      <c r="I20" s="115" t="str">
        <f>"pounds of TP reduced
per "&amp;'BMP info'!E19&amp;"
per year"</f>
        <v>pounds of TP reduced
per acre
per year</v>
      </c>
      <c r="J20" s="83"/>
      <c r="K20" s="103">
        <f>'18'!D$34</f>
        <v>158.2175</v>
      </c>
      <c r="L20" s="115" t="str">
        <f>"per "&amp;'BMP info'!E19&amp;"
per year"</f>
        <v>per acre
per year</v>
      </c>
      <c r="M20" s="83"/>
      <c r="N20" s="62">
        <f t="shared" si="0"/>
        <v>0.63204133550334196</v>
      </c>
      <c r="O20" s="63">
        <f t="shared" si="1"/>
        <v>1.2640826710066839</v>
      </c>
      <c r="P20" s="63">
        <f t="shared" si="2"/>
        <v>2.6545736091140362</v>
      </c>
      <c r="Q20" s="115" t="s">
        <v>137</v>
      </c>
      <c r="R20" s="83"/>
      <c r="S20" s="108">
        <f t="shared" si="3"/>
        <v>376.70833333333337</v>
      </c>
      <c r="T20" s="109">
        <f t="shared" si="4"/>
        <v>791.08749999999998</v>
      </c>
      <c r="U20" s="109">
        <f t="shared" si="5"/>
        <v>1582.175</v>
      </c>
      <c r="V20" s="115" t="s">
        <v>190</v>
      </c>
    </row>
    <row r="21" spans="1:22" ht="33.75">
      <c r="A21" s="8">
        <v>19</v>
      </c>
      <c r="B21" s="12" t="s">
        <v>60</v>
      </c>
      <c r="C21" s="71" t="s">
        <v>256</v>
      </c>
      <c r="D21" s="66" t="s">
        <v>85</v>
      </c>
      <c r="F21" s="73">
        <f>'19'!E$30</f>
        <v>0</v>
      </c>
      <c r="G21" s="74">
        <f>'19'!E$29</f>
        <v>0</v>
      </c>
      <c r="H21" s="74">
        <f>'19'!E$27</f>
        <v>0</v>
      </c>
      <c r="I21" s="115" t="str">
        <f>"pounds of TP reduced
per "&amp;'BMP info'!E20&amp;"
per year"</f>
        <v>pounds of TP reduced
per acre
per year</v>
      </c>
      <c r="J21" s="83"/>
      <c r="K21" s="103">
        <f>'19'!D$34</f>
        <v>56</v>
      </c>
      <c r="L21" s="115" t="str">
        <f>"per "&amp;'BMP info'!E20&amp;"
per year"</f>
        <v>per acre
per year</v>
      </c>
      <c r="M21" s="83"/>
      <c r="N21" s="62">
        <f t="shared" si="0"/>
        <v>0</v>
      </c>
      <c r="O21" s="63">
        <f t="shared" si="1"/>
        <v>0</v>
      </c>
      <c r="P21" s="63">
        <f t="shared" si="2"/>
        <v>0</v>
      </c>
      <c r="Q21" s="115" t="s">
        <v>137</v>
      </c>
      <c r="R21" s="83"/>
      <c r="S21" s="108" t="str">
        <f t="shared" si="3"/>
        <v>-</v>
      </c>
      <c r="T21" s="109" t="str">
        <f t="shared" si="4"/>
        <v>-</v>
      </c>
      <c r="U21" s="109" t="str">
        <f t="shared" si="5"/>
        <v>-</v>
      </c>
      <c r="V21" s="115" t="s">
        <v>190</v>
      </c>
    </row>
    <row r="22" spans="1:22" ht="33.75">
      <c r="A22" s="8">
        <v>20</v>
      </c>
      <c r="B22" s="12" t="s">
        <v>60</v>
      </c>
      <c r="C22" s="71" t="s">
        <v>104</v>
      </c>
      <c r="D22" s="66" t="s">
        <v>105</v>
      </c>
      <c r="F22" s="73">
        <f>'20'!E$30</f>
        <v>0.79</v>
      </c>
      <c r="G22" s="74">
        <f>'20'!E$29</f>
        <v>3.93</v>
      </c>
      <c r="H22" s="74">
        <f>'20'!E$27</f>
        <v>73.069999999999993</v>
      </c>
      <c r="I22" s="115" t="str">
        <f>"pounds of TP reduced
per "&amp;'BMP info'!E21&amp;"
per year"</f>
        <v>pounds of TP reduced
per acre
per year</v>
      </c>
      <c r="J22" s="83"/>
      <c r="K22" s="104">
        <f>'20'!D$34</f>
        <v>1190.0999999999999</v>
      </c>
      <c r="L22" s="115" t="str">
        <f>"per "&amp;'BMP info'!E21&amp;"
per year"</f>
        <v>per acre
per year</v>
      </c>
      <c r="M22" s="83"/>
      <c r="N22" s="62">
        <f t="shared" si="0"/>
        <v>0.66380976388538782</v>
      </c>
      <c r="O22" s="63">
        <f t="shared" si="1"/>
        <v>3.3022435089488282</v>
      </c>
      <c r="P22" s="63">
        <f t="shared" si="2"/>
        <v>61.398201831778849</v>
      </c>
      <c r="Q22" s="115" t="s">
        <v>137</v>
      </c>
      <c r="R22" s="83"/>
      <c r="S22" s="108">
        <f t="shared" si="3"/>
        <v>16.287121937867798</v>
      </c>
      <c r="T22" s="109">
        <f t="shared" si="4"/>
        <v>302.82442748091597</v>
      </c>
      <c r="U22" s="109">
        <f t="shared" si="5"/>
        <v>1506.4556962025315</v>
      </c>
      <c r="V22" s="115" t="s">
        <v>190</v>
      </c>
    </row>
    <row r="23" spans="1:22" ht="33.75">
      <c r="A23" s="8">
        <v>21</v>
      </c>
      <c r="B23" s="12" t="s">
        <v>60</v>
      </c>
      <c r="C23" s="71" t="s">
        <v>106</v>
      </c>
      <c r="D23" s="66" t="s">
        <v>107</v>
      </c>
      <c r="F23" s="69">
        <f>'21'!E$30</f>
        <v>0</v>
      </c>
      <c r="G23" s="70">
        <f>'21'!E$29</f>
        <v>0</v>
      </c>
      <c r="H23" s="70">
        <f>'21'!E$27</f>
        <v>0</v>
      </c>
      <c r="I23" s="115" t="str">
        <f>"pounds of TP reduced
per "&amp;'BMP info'!E22&amp;"
per year"</f>
        <v>pounds of TP reduced
per animal unit
per year</v>
      </c>
      <c r="J23" s="83"/>
      <c r="K23" s="104">
        <f>'21'!D$34</f>
        <v>1</v>
      </c>
      <c r="L23" s="115" t="str">
        <f>"per "&amp;'BMP info'!E22&amp;"
per year"</f>
        <v>per animal unit
per year</v>
      </c>
      <c r="M23" s="83"/>
      <c r="N23" s="76">
        <f t="shared" si="0"/>
        <v>0</v>
      </c>
      <c r="O23" s="77">
        <f t="shared" si="1"/>
        <v>0</v>
      </c>
      <c r="P23" s="77">
        <f t="shared" si="2"/>
        <v>0</v>
      </c>
      <c r="Q23" s="115" t="s">
        <v>137</v>
      </c>
      <c r="R23" s="83"/>
      <c r="S23" s="106" t="str">
        <f t="shared" si="3"/>
        <v>-</v>
      </c>
      <c r="T23" s="107" t="str">
        <f t="shared" si="4"/>
        <v>-</v>
      </c>
      <c r="U23" s="107" t="str">
        <f t="shared" si="5"/>
        <v>-</v>
      </c>
      <c r="V23" s="115" t="s">
        <v>190</v>
      </c>
    </row>
    <row r="24" spans="1:22" ht="33.75">
      <c r="A24" s="8">
        <v>22</v>
      </c>
      <c r="B24" s="12" t="s">
        <v>60</v>
      </c>
      <c r="C24" s="71" t="s">
        <v>64</v>
      </c>
      <c r="D24" s="66" t="s">
        <v>108</v>
      </c>
      <c r="F24" s="73">
        <f>'22'!E$30</f>
        <v>2.2000000000000001E-3</v>
      </c>
      <c r="G24" s="74">
        <f>'22'!E$29</f>
        <v>2.5000000000000001E-3</v>
      </c>
      <c r="H24" s="74">
        <f>'22'!E$27</f>
        <v>2.5000000000000001E-3</v>
      </c>
      <c r="I24" s="115" t="str">
        <f>"pounds of TP reduced
per "&amp;'BMP info'!E23&amp;"
per year"</f>
        <v>pounds of TP reduced
per foot
per year</v>
      </c>
      <c r="J24" s="83"/>
      <c r="K24" s="104">
        <f>'22'!D$34</f>
        <v>6.6886666666666663</v>
      </c>
      <c r="L24" s="115" t="str">
        <f>"per "&amp;'BMP info'!E23&amp;"
per year"</f>
        <v>per foot
per year</v>
      </c>
      <c r="M24" s="83"/>
      <c r="N24" s="62">
        <f t="shared" si="0"/>
        <v>0.32891458187979672</v>
      </c>
      <c r="O24" s="63">
        <f t="shared" si="1"/>
        <v>0.3737665703179508</v>
      </c>
      <c r="P24" s="63">
        <f t="shared" si="2"/>
        <v>0.3737665703179508</v>
      </c>
      <c r="Q24" s="115" t="s">
        <v>137</v>
      </c>
      <c r="R24" s="83"/>
      <c r="S24" s="108">
        <f t="shared" si="3"/>
        <v>2675.4666666666667</v>
      </c>
      <c r="T24" s="109">
        <f t="shared" si="4"/>
        <v>2675.4666666666667</v>
      </c>
      <c r="U24" s="109">
        <f t="shared" si="5"/>
        <v>3040.30303030303</v>
      </c>
      <c r="V24" s="115" t="s">
        <v>190</v>
      </c>
    </row>
    <row r="25" spans="1:22" ht="33.75">
      <c r="A25" s="8">
        <v>23</v>
      </c>
      <c r="B25" s="12" t="s">
        <v>60</v>
      </c>
      <c r="C25" s="71" t="s">
        <v>109</v>
      </c>
      <c r="D25" s="66" t="s">
        <v>110</v>
      </c>
      <c r="F25" s="73">
        <f>'23'!E$30</f>
        <v>0.02</v>
      </c>
      <c r="G25" s="74">
        <f>'23'!E$29</f>
        <v>0.06</v>
      </c>
      <c r="H25" s="74">
        <f>'23'!E$27</f>
        <v>0.16</v>
      </c>
      <c r="I25" s="115" t="str">
        <f>"pounds of TP reduced
per "&amp;'BMP info'!E24&amp;"
per year"</f>
        <v>pounds of TP reduced
per acre
per year</v>
      </c>
      <c r="J25" s="83"/>
      <c r="K25" s="104">
        <f>'23'!D$34</f>
        <v>7</v>
      </c>
      <c r="L25" s="115" t="str">
        <f>"per "&amp;'BMP info'!E24&amp;"
per year"</f>
        <v>per acre
per year</v>
      </c>
      <c r="M25" s="83"/>
      <c r="N25" s="62">
        <f t="shared" si="0"/>
        <v>2.8571428571428572</v>
      </c>
      <c r="O25" s="63">
        <f t="shared" si="1"/>
        <v>8.5714285714285712</v>
      </c>
      <c r="P25" s="63">
        <f t="shared" si="2"/>
        <v>22.857142857142858</v>
      </c>
      <c r="Q25" s="115" t="s">
        <v>137</v>
      </c>
      <c r="R25" s="83"/>
      <c r="S25" s="108">
        <f t="shared" si="3"/>
        <v>43.75</v>
      </c>
      <c r="T25" s="109">
        <f t="shared" si="4"/>
        <v>116.66666666666667</v>
      </c>
      <c r="U25" s="109">
        <f t="shared" si="5"/>
        <v>350</v>
      </c>
      <c r="V25" s="115" t="s">
        <v>190</v>
      </c>
    </row>
    <row r="26" spans="1:22" ht="33.75">
      <c r="A26" s="8">
        <v>24</v>
      </c>
      <c r="B26" s="12" t="s">
        <v>60</v>
      </c>
      <c r="C26" s="71" t="s">
        <v>111</v>
      </c>
      <c r="D26" s="66" t="s">
        <v>112</v>
      </c>
      <c r="F26" s="73">
        <f>'24'!E$30</f>
        <v>0.03</v>
      </c>
      <c r="G26" s="74">
        <f>'24'!E$29</f>
        <v>0.05</v>
      </c>
      <c r="H26" s="74">
        <f>'24'!E$27</f>
        <v>0.13</v>
      </c>
      <c r="I26" s="115" t="str">
        <f>"pounds of TP reduced
per "&amp;'BMP info'!E25&amp;"
per year"</f>
        <v>pounds of TP reduced
per acre
per year</v>
      </c>
      <c r="J26" s="83"/>
      <c r="K26" s="104">
        <f>'24'!D$34</f>
        <v>82.667000000000002</v>
      </c>
      <c r="L26" s="115" t="str">
        <f>"per "&amp;'BMP info'!E25&amp;"
per year"</f>
        <v>per acre
per year</v>
      </c>
      <c r="M26" s="83"/>
      <c r="N26" s="62">
        <f t="shared" si="0"/>
        <v>0.36290176249289319</v>
      </c>
      <c r="O26" s="63">
        <f t="shared" si="1"/>
        <v>0.60483627082148861</v>
      </c>
      <c r="P26" s="63">
        <f t="shared" si="2"/>
        <v>1.5725743041358704</v>
      </c>
      <c r="Q26" s="115" t="s">
        <v>137</v>
      </c>
      <c r="R26" s="83"/>
      <c r="S26" s="108">
        <f t="shared" si="3"/>
        <v>635.9</v>
      </c>
      <c r="T26" s="109">
        <f t="shared" si="4"/>
        <v>1653.34</v>
      </c>
      <c r="U26" s="109">
        <f t="shared" si="5"/>
        <v>2755.5666666666666</v>
      </c>
      <c r="V26" s="115" t="s">
        <v>190</v>
      </c>
    </row>
    <row r="27" spans="1:22" ht="33.75">
      <c r="A27" s="8">
        <v>25</v>
      </c>
      <c r="B27" s="12" t="s">
        <v>60</v>
      </c>
      <c r="C27" s="71" t="s">
        <v>126</v>
      </c>
      <c r="D27" s="66" t="s">
        <v>127</v>
      </c>
      <c r="F27" s="73">
        <f>'25'!E$30</f>
        <v>4.78</v>
      </c>
      <c r="G27" s="74">
        <f>'25'!E$29</f>
        <v>11.96</v>
      </c>
      <c r="H27" s="74">
        <f>'25'!E$27</f>
        <v>21.31</v>
      </c>
      <c r="I27" s="115" t="str">
        <f>"pounds of TP reduced
per "&amp;'BMP info'!E26&amp;"
per year"</f>
        <v>pounds of TP reduced
per acre
per year</v>
      </c>
      <c r="J27" s="83"/>
      <c r="K27" s="104">
        <f>'25'!D$34</f>
        <v>93.1</v>
      </c>
      <c r="L27" s="115" t="str">
        <f>"per "&amp;'BMP info'!E26&amp;"
per year"</f>
        <v>per acre
per year</v>
      </c>
      <c r="M27" s="83"/>
      <c r="N27" s="62">
        <f t="shared" si="0"/>
        <v>51.342642320085929</v>
      </c>
      <c r="O27" s="63">
        <f t="shared" si="1"/>
        <v>128.46401718582172</v>
      </c>
      <c r="P27" s="63">
        <f t="shared" si="2"/>
        <v>228.89366272824921</v>
      </c>
      <c r="Q27" s="115" t="s">
        <v>137</v>
      </c>
      <c r="R27" s="83"/>
      <c r="S27" s="108">
        <f t="shared" si="3"/>
        <v>4.368840919755983</v>
      </c>
      <c r="T27" s="109">
        <f t="shared" si="4"/>
        <v>7.7842809364548486</v>
      </c>
      <c r="U27" s="109">
        <f t="shared" si="5"/>
        <v>19.476987447698743</v>
      </c>
      <c r="V27" s="115" t="s">
        <v>190</v>
      </c>
    </row>
    <row r="28" spans="1:22" ht="33.75">
      <c r="A28" s="8">
        <v>26</v>
      </c>
      <c r="B28" s="12" t="s">
        <v>60</v>
      </c>
      <c r="C28" s="71" t="s">
        <v>257</v>
      </c>
      <c r="D28" s="66" t="s">
        <v>114</v>
      </c>
      <c r="F28" s="73">
        <f>'26'!E$30</f>
        <v>0</v>
      </c>
      <c r="G28" s="74">
        <f>'26'!E$29</f>
        <v>0</v>
      </c>
      <c r="H28" s="74">
        <f>'26'!E$27</f>
        <v>0</v>
      </c>
      <c r="I28" s="115" t="str">
        <f>"pounds of TP reduced
per "&amp;'BMP info'!E27&amp;"
per year"</f>
        <v>pounds of TP reduced
per acre
per year</v>
      </c>
      <c r="J28" s="83"/>
      <c r="K28" s="104">
        <f>'26'!D$34</f>
        <v>23.33</v>
      </c>
      <c r="L28" s="115" t="str">
        <f>"per "&amp;'BMP info'!E27&amp;"
per year"</f>
        <v>per acre
per year</v>
      </c>
      <c r="M28" s="83"/>
      <c r="N28" s="62">
        <f t="shared" si="0"/>
        <v>0</v>
      </c>
      <c r="O28" s="63">
        <f t="shared" si="1"/>
        <v>0</v>
      </c>
      <c r="P28" s="63">
        <f t="shared" si="2"/>
        <v>0</v>
      </c>
      <c r="Q28" s="115" t="s">
        <v>137</v>
      </c>
      <c r="R28" s="83"/>
      <c r="S28" s="108" t="str">
        <f t="shared" si="3"/>
        <v>-</v>
      </c>
      <c r="T28" s="109" t="str">
        <f t="shared" si="4"/>
        <v>-</v>
      </c>
      <c r="U28" s="109" t="str">
        <f t="shared" si="5"/>
        <v>-</v>
      </c>
      <c r="V28" s="115" t="s">
        <v>190</v>
      </c>
    </row>
    <row r="29" spans="1:22" ht="33.75">
      <c r="A29" s="8">
        <v>27</v>
      </c>
      <c r="B29" s="12" t="s">
        <v>60</v>
      </c>
      <c r="C29" s="71" t="s">
        <v>117</v>
      </c>
      <c r="D29" s="66" t="s">
        <v>118</v>
      </c>
      <c r="F29" s="69">
        <f>'27'!E$30</f>
        <v>0</v>
      </c>
      <c r="G29" s="70">
        <f>'27'!E$29</f>
        <v>0</v>
      </c>
      <c r="H29" s="70">
        <f>'27'!E$27</f>
        <v>0</v>
      </c>
      <c r="I29" s="115" t="str">
        <f>"pounds of TP reduced
per "&amp;'BMP info'!E28&amp;"
per year"</f>
        <v>pounds of TP reduced
per animal unit
per year</v>
      </c>
      <c r="J29" s="83"/>
      <c r="K29" s="104">
        <f>'27'!D$34</f>
        <v>0.83</v>
      </c>
      <c r="L29" s="115" t="str">
        <f>"per "&amp;'BMP info'!E28&amp;"
per year"</f>
        <v>per animal unit
per year</v>
      </c>
      <c r="M29" s="83"/>
      <c r="N29" s="76">
        <f t="shared" si="0"/>
        <v>0</v>
      </c>
      <c r="O29" s="77">
        <f t="shared" si="1"/>
        <v>0</v>
      </c>
      <c r="P29" s="77">
        <f t="shared" si="2"/>
        <v>0</v>
      </c>
      <c r="Q29" s="115" t="s">
        <v>137</v>
      </c>
      <c r="R29" s="83"/>
      <c r="S29" s="106" t="str">
        <f t="shared" si="3"/>
        <v>-</v>
      </c>
      <c r="T29" s="107" t="str">
        <f t="shared" si="4"/>
        <v>-</v>
      </c>
      <c r="U29" s="107" t="str">
        <f t="shared" si="5"/>
        <v>-</v>
      </c>
      <c r="V29" s="115" t="s">
        <v>190</v>
      </c>
    </row>
    <row r="30" spans="1:22" ht="33.75">
      <c r="A30" s="8">
        <v>28</v>
      </c>
      <c r="B30" s="12" t="s">
        <v>60</v>
      </c>
      <c r="C30" s="71" t="s">
        <v>121</v>
      </c>
      <c r="D30" s="66" t="s">
        <v>122</v>
      </c>
      <c r="F30" s="73">
        <f>'28'!E$30</f>
        <v>0.1</v>
      </c>
      <c r="G30" s="74">
        <f>'28'!E$29</f>
        <v>0.21</v>
      </c>
      <c r="H30" s="74">
        <f>'28'!E$27</f>
        <v>0.45</v>
      </c>
      <c r="I30" s="115" t="str">
        <f>"pounds of TP reduced
per "&amp;'BMP info'!E29&amp;"
per year"</f>
        <v>pounds of TP reduced
per acre
per year</v>
      </c>
      <c r="J30" s="83"/>
      <c r="K30" s="104">
        <f>'28'!D$34</f>
        <v>600</v>
      </c>
      <c r="L30" s="115" t="str">
        <f>"per "&amp;'BMP info'!E29&amp;"
per year"</f>
        <v>per acre
per year</v>
      </c>
      <c r="M30" s="83"/>
      <c r="N30" s="62">
        <f t="shared" si="0"/>
        <v>0.16666666666666666</v>
      </c>
      <c r="O30" s="63">
        <f t="shared" si="1"/>
        <v>0.35</v>
      </c>
      <c r="P30" s="63">
        <f t="shared" si="2"/>
        <v>0.75</v>
      </c>
      <c r="Q30" s="115" t="s">
        <v>137</v>
      </c>
      <c r="R30" s="83"/>
      <c r="S30" s="108">
        <f t="shared" si="3"/>
        <v>1333.3333333333333</v>
      </c>
      <c r="T30" s="109">
        <f t="shared" si="4"/>
        <v>2857.1428571428573</v>
      </c>
      <c r="U30" s="109">
        <f t="shared" si="5"/>
        <v>6000</v>
      </c>
      <c r="V30" s="115" t="s">
        <v>190</v>
      </c>
    </row>
    <row r="31" spans="1:22" ht="33.75">
      <c r="A31" s="8">
        <v>29</v>
      </c>
      <c r="B31" s="12" t="s">
        <v>60</v>
      </c>
      <c r="C31" s="71" t="s">
        <v>142</v>
      </c>
      <c r="D31" s="66" t="s">
        <v>17</v>
      </c>
      <c r="F31" s="73">
        <f>'29'!E$30</f>
        <v>0.04</v>
      </c>
      <c r="G31" s="74">
        <f>'29'!E$29</f>
        <v>0.23</v>
      </c>
      <c r="H31" s="74">
        <f>'29'!E$27</f>
        <v>0.61</v>
      </c>
      <c r="I31" s="115" t="str">
        <f>"pounds of TP reduced
per "&amp;'BMP info'!E30&amp;"
per year"</f>
        <v>pounds of TP reduced
per acre
per year</v>
      </c>
      <c r="J31" s="83"/>
      <c r="K31" s="103">
        <f>'29'!D$34</f>
        <v>163.80000000000001</v>
      </c>
      <c r="L31" s="115" t="str">
        <f>"per "&amp;'BMP info'!E30&amp;"
per year"</f>
        <v>per acre
per year</v>
      </c>
      <c r="M31" s="83"/>
      <c r="N31" s="62">
        <f t="shared" si="0"/>
        <v>0.24420024420024419</v>
      </c>
      <c r="O31" s="63">
        <f t="shared" si="1"/>
        <v>1.404151404151404</v>
      </c>
      <c r="P31" s="63">
        <f t="shared" si="2"/>
        <v>3.7240537240537237</v>
      </c>
      <c r="Q31" s="115" t="s">
        <v>137</v>
      </c>
      <c r="R31" s="83"/>
      <c r="S31" s="108">
        <f t="shared" si="3"/>
        <v>268.52459016393448</v>
      </c>
      <c r="T31" s="109">
        <f t="shared" si="4"/>
        <v>712.17391304347825</v>
      </c>
      <c r="U31" s="109">
        <f t="shared" si="5"/>
        <v>4095</v>
      </c>
      <c r="V31" s="115" t="s">
        <v>190</v>
      </c>
    </row>
    <row r="32" spans="1:22" ht="33.75">
      <c r="A32" s="8">
        <v>30</v>
      </c>
      <c r="B32" s="12" t="s">
        <v>60</v>
      </c>
      <c r="C32" s="71" t="s">
        <v>119</v>
      </c>
      <c r="D32" s="66" t="s">
        <v>120</v>
      </c>
      <c r="F32" s="73">
        <f>'30'!E$30</f>
        <v>0.12</v>
      </c>
      <c r="G32" s="74">
        <f>'30'!E$29</f>
        <v>0.4</v>
      </c>
      <c r="H32" s="74">
        <f>'30'!E$27</f>
        <v>0.41</v>
      </c>
      <c r="I32" s="115" t="str">
        <f>"pounds of TP reduced
per "&amp;'BMP info'!E31&amp;"
per year"</f>
        <v>pounds of TP reduced
per acre
per year</v>
      </c>
      <c r="J32" s="83"/>
      <c r="K32" s="103">
        <f>'30'!D$34</f>
        <v>600</v>
      </c>
      <c r="L32" s="115" t="str">
        <f>"per "&amp;'BMP info'!E31&amp;"
per year"</f>
        <v>per acre
per year</v>
      </c>
      <c r="M32" s="83"/>
      <c r="N32" s="62">
        <f t="shared" ref="N32:P36" si="6">IF($K32=0,"-",1000*F32/$K32)</f>
        <v>0.2</v>
      </c>
      <c r="O32" s="63">
        <f t="shared" si="6"/>
        <v>0.66666666666666663</v>
      </c>
      <c r="P32" s="63">
        <f t="shared" si="6"/>
        <v>0.68333333333333335</v>
      </c>
      <c r="Q32" s="115" t="s">
        <v>137</v>
      </c>
      <c r="R32" s="83"/>
      <c r="S32" s="108">
        <f t="shared" si="3"/>
        <v>1463.4146341463415</v>
      </c>
      <c r="T32" s="109">
        <f t="shared" si="4"/>
        <v>1500</v>
      </c>
      <c r="U32" s="109">
        <f t="shared" si="5"/>
        <v>5000</v>
      </c>
      <c r="V32" s="115" t="s">
        <v>190</v>
      </c>
    </row>
    <row r="33" spans="1:22" ht="33.75">
      <c r="A33" s="8">
        <v>31</v>
      </c>
      <c r="B33" s="12" t="s">
        <v>60</v>
      </c>
      <c r="C33" s="71" t="s">
        <v>18</v>
      </c>
      <c r="D33" s="66" t="s">
        <v>19</v>
      </c>
      <c r="F33" s="73">
        <f>'31'!E$30</f>
        <v>0</v>
      </c>
      <c r="G33" s="74">
        <f>'31'!E$29</f>
        <v>0</v>
      </c>
      <c r="H33" s="74">
        <f>'31'!E$27</f>
        <v>0</v>
      </c>
      <c r="I33" s="115" t="str">
        <f>"pounds of TP reduced
per "&amp;'BMP info'!E32&amp;"
per year"</f>
        <v>pounds of TP reduced
per acre
per year</v>
      </c>
      <c r="J33" s="83"/>
      <c r="K33" s="103">
        <f>'31'!D$34</f>
        <v>52</v>
      </c>
      <c r="L33" s="115" t="str">
        <f>"per "&amp;'BMP info'!E32&amp;"
per year"</f>
        <v>per acre
per year</v>
      </c>
      <c r="M33" s="83"/>
      <c r="N33" s="62">
        <f t="shared" si="6"/>
        <v>0</v>
      </c>
      <c r="O33" s="63">
        <f t="shared" si="6"/>
        <v>0</v>
      </c>
      <c r="P33" s="63">
        <f t="shared" si="6"/>
        <v>0</v>
      </c>
      <c r="Q33" s="115" t="s">
        <v>137</v>
      </c>
      <c r="R33" s="83"/>
      <c r="S33" s="108" t="str">
        <f t="shared" si="3"/>
        <v>-</v>
      </c>
      <c r="T33" s="109" t="str">
        <f t="shared" si="4"/>
        <v>-</v>
      </c>
      <c r="U33" s="109" t="str">
        <f t="shared" si="5"/>
        <v>-</v>
      </c>
      <c r="V33" s="115" t="s">
        <v>190</v>
      </c>
    </row>
    <row r="34" spans="1:22" ht="33.75">
      <c r="A34" s="8">
        <v>32</v>
      </c>
      <c r="B34" s="12" t="s">
        <v>60</v>
      </c>
      <c r="C34" s="71" t="s">
        <v>20</v>
      </c>
      <c r="D34" s="66" t="s">
        <v>168</v>
      </c>
      <c r="F34" s="73">
        <f>'32'!E$30</f>
        <v>0.79</v>
      </c>
      <c r="G34" s="74">
        <f>'32'!E$29</f>
        <v>1.25</v>
      </c>
      <c r="H34" s="74">
        <f>'32'!E$27</f>
        <v>3.79</v>
      </c>
      <c r="I34" s="115" t="str">
        <f>"pounds of TP reduced
per "&amp;'BMP info'!E35&amp;"
per year"</f>
        <v>pounds of TP reduced
per acre
per year</v>
      </c>
      <c r="J34" s="83"/>
      <c r="K34" s="103">
        <f>'32'!D$34</f>
        <v>231.42222222222222</v>
      </c>
      <c r="L34" s="115" t="str">
        <f>"per "&amp;'BMP info'!E35&amp;"
per year"</f>
        <v>per acre
per year</v>
      </c>
      <c r="M34" s="83"/>
      <c r="N34" s="62">
        <f t="shared" si="6"/>
        <v>3.4136739005185328</v>
      </c>
      <c r="O34" s="63">
        <f t="shared" si="6"/>
        <v>5.4013827539850201</v>
      </c>
      <c r="P34" s="63">
        <f t="shared" si="6"/>
        <v>16.37699251008258</v>
      </c>
      <c r="Q34" s="115" t="s">
        <v>137</v>
      </c>
      <c r="R34" s="83"/>
      <c r="S34" s="108">
        <f t="shared" si="3"/>
        <v>61.061272354148343</v>
      </c>
      <c r="T34" s="109">
        <f t="shared" si="4"/>
        <v>185.13777777777779</v>
      </c>
      <c r="U34" s="109">
        <f t="shared" si="5"/>
        <v>292.93952180028128</v>
      </c>
      <c r="V34" s="115" t="s">
        <v>190</v>
      </c>
    </row>
    <row r="35" spans="1:22" ht="33.75">
      <c r="A35" s="8">
        <v>35</v>
      </c>
      <c r="B35" s="14" t="s">
        <v>57</v>
      </c>
      <c r="C35" s="71" t="s">
        <v>58</v>
      </c>
      <c r="D35" s="129" t="s">
        <v>59</v>
      </c>
      <c r="F35" s="73">
        <f>'33'!E$30</f>
        <v>4.3025375243031919E-2</v>
      </c>
      <c r="G35" s="74">
        <f>'33'!E$29</f>
        <v>0.21387231189177219</v>
      </c>
      <c r="H35" s="74">
        <f>'33'!E$27</f>
        <v>0.52991374970181526</v>
      </c>
      <c r="I35" s="115" t="str">
        <f>"pounds of TP reduced
per "&amp;'BMP info'!E35&amp;"
per year"</f>
        <v>pounds of TP reduced
per acre
per year</v>
      </c>
      <c r="J35" s="83"/>
      <c r="K35" s="104">
        <f>'33'!D$34</f>
        <v>20.5</v>
      </c>
      <c r="L35" s="115" t="str">
        <f>"per "&amp;'BMP info'!E35&amp;"
per year"</f>
        <v>per acre
per year</v>
      </c>
      <c r="M35" s="83"/>
      <c r="N35" s="62">
        <f t="shared" si="6"/>
        <v>2.0987987923430205</v>
      </c>
      <c r="O35" s="63">
        <f t="shared" si="6"/>
        <v>10.432795702037668</v>
      </c>
      <c r="P35" s="63">
        <f t="shared" si="6"/>
        <v>25.849451204966599</v>
      </c>
      <c r="Q35" s="115" t="s">
        <v>137</v>
      </c>
      <c r="R35" s="83"/>
      <c r="S35" s="108">
        <f t="shared" ref="S35:S47" si="7">IF($K35*H35=0,"-",$K35/H35)</f>
        <v>38.685540829116889</v>
      </c>
      <c r="T35" s="109">
        <f t="shared" ref="T35:T47" si="8">IF($K35*G35=0,"-",$K35/G35)</f>
        <v>95.851584614533024</v>
      </c>
      <c r="U35" s="109">
        <f t="shared" ref="U35:U47" si="9">IF($K35*F35=0,"-",$K35/F35)</f>
        <v>476.46301477219617</v>
      </c>
      <c r="V35" s="115" t="s">
        <v>190</v>
      </c>
    </row>
    <row r="36" spans="1:22" ht="33.75">
      <c r="A36" s="8">
        <v>34</v>
      </c>
      <c r="B36" s="13" t="s">
        <v>70</v>
      </c>
      <c r="C36" s="71" t="s">
        <v>47</v>
      </c>
      <c r="D36" s="66" t="s">
        <v>48</v>
      </c>
      <c r="F36" s="73">
        <f>'34'!E$30</f>
        <v>0.21</v>
      </c>
      <c r="G36" s="74">
        <f>'34'!E$29</f>
        <v>0.28999999999999998</v>
      </c>
      <c r="H36" s="74">
        <f>'34'!E$27</f>
        <v>0.8</v>
      </c>
      <c r="I36" s="115" t="str">
        <f>"pounds of TP reduced
per "&amp;'BMP info'!E36&amp;"
per year"</f>
        <v>pounds of TP reduced
per MGD
per year</v>
      </c>
      <c r="J36" s="83"/>
      <c r="K36" s="104">
        <f>'34'!D$34</f>
        <v>45</v>
      </c>
      <c r="L36" s="115" t="str">
        <f>"per "&amp;'BMP info'!E36&amp;"
per year"</f>
        <v>per MGD
per year</v>
      </c>
      <c r="M36" s="83"/>
      <c r="N36" s="62">
        <f t="shared" si="6"/>
        <v>4.666666666666667</v>
      </c>
      <c r="O36" s="63">
        <f t="shared" si="6"/>
        <v>6.4444444444444446</v>
      </c>
      <c r="P36" s="63">
        <f t="shared" si="6"/>
        <v>17.777777777777779</v>
      </c>
      <c r="Q36" s="115" t="s">
        <v>137</v>
      </c>
      <c r="R36" s="83"/>
      <c r="S36" s="108">
        <f t="shared" si="7"/>
        <v>56.25</v>
      </c>
      <c r="T36" s="109">
        <f t="shared" si="8"/>
        <v>155.17241379310346</v>
      </c>
      <c r="U36" s="109">
        <f t="shared" si="9"/>
        <v>214.28571428571431</v>
      </c>
      <c r="V36" s="115" t="s">
        <v>190</v>
      </c>
    </row>
    <row r="37" spans="1:22" ht="33.75">
      <c r="A37" s="8">
        <v>35</v>
      </c>
      <c r="B37" s="67" t="s">
        <v>61</v>
      </c>
      <c r="C37" s="71" t="s">
        <v>62</v>
      </c>
      <c r="D37" s="66" t="s">
        <v>63</v>
      </c>
      <c r="F37" s="73">
        <f>'35'!E$30</f>
        <v>305</v>
      </c>
      <c r="G37" s="74">
        <f>'35'!E$29</f>
        <v>1553</v>
      </c>
      <c r="H37" s="74">
        <f>'35'!E$27</f>
        <v>3046</v>
      </c>
      <c r="I37" s="115" t="str">
        <f>"pounds of TP reduced
per "&amp;'BMP info'!E34&amp;"
per year"</f>
        <v>pounds of TP reduced
per ton
per year</v>
      </c>
      <c r="J37" s="83"/>
      <c r="K37" s="104">
        <f>'35'!D$34</f>
        <v>395200</v>
      </c>
      <c r="L37" s="115" t="str">
        <f>"per "&amp;'BMP info'!E34&amp;"
per year"</f>
        <v>per ton
per year</v>
      </c>
      <c r="M37" s="83"/>
      <c r="N37" s="62">
        <f t="shared" ref="N37:N47" si="10">IF($K37=0,"-",1000*F37/$K37)</f>
        <v>0.77176113360323884</v>
      </c>
      <c r="O37" s="63">
        <f t="shared" ref="O37:O47" si="11">IF($K37=0,"-",1000*G37/$K37)</f>
        <v>3.9296558704453441</v>
      </c>
      <c r="P37" s="63">
        <f t="shared" ref="P37:P47" si="12">IF($K37=0,"-",1000*H37/$K37)</f>
        <v>7.7074898785425106</v>
      </c>
      <c r="Q37" s="115" t="s">
        <v>137</v>
      </c>
      <c r="R37" s="83"/>
      <c r="S37" s="108">
        <f t="shared" si="7"/>
        <v>129.74392646093236</v>
      </c>
      <c r="T37" s="109">
        <f t="shared" si="8"/>
        <v>254.47520927237605</v>
      </c>
      <c r="U37" s="109">
        <f t="shared" si="9"/>
        <v>1295.7377049180327</v>
      </c>
      <c r="V37" s="115" t="s">
        <v>190</v>
      </c>
    </row>
    <row r="38" spans="1:22" ht="33.75">
      <c r="A38" s="8" t="s">
        <v>148</v>
      </c>
      <c r="B38" s="15" t="s">
        <v>49</v>
      </c>
      <c r="C38" s="71" t="s">
        <v>141</v>
      </c>
      <c r="D38" s="130" t="s">
        <v>50</v>
      </c>
      <c r="F38" s="73">
        <f>'36a'!E$30</f>
        <v>0</v>
      </c>
      <c r="G38" s="74">
        <f>'36a'!E$29</f>
        <v>0</v>
      </c>
      <c r="H38" s="74">
        <f>'36a'!E$27</f>
        <v>0</v>
      </c>
      <c r="I38" s="115" t="str">
        <f>"pounds of TP reduced
per "&amp;'BMP info'!E37&amp;"
per year"</f>
        <v>pounds of TP reduced
per system
per year</v>
      </c>
      <c r="J38" s="83"/>
      <c r="K38" s="103">
        <f>'36a'!D$34</f>
        <v>750</v>
      </c>
      <c r="L38" s="115" t="str">
        <f>"per "&amp;'BMP info'!E37&amp;"
per year"</f>
        <v>per system
per year</v>
      </c>
      <c r="M38" s="83"/>
      <c r="N38" s="62">
        <f t="shared" si="10"/>
        <v>0</v>
      </c>
      <c r="O38" s="75">
        <f t="shared" si="11"/>
        <v>0</v>
      </c>
      <c r="P38" s="75">
        <f t="shared" si="12"/>
        <v>0</v>
      </c>
      <c r="Q38" s="115" t="s">
        <v>137</v>
      </c>
      <c r="R38" s="83"/>
      <c r="S38" s="108" t="str">
        <f t="shared" si="7"/>
        <v>-</v>
      </c>
      <c r="T38" s="112" t="str">
        <f t="shared" si="8"/>
        <v>-</v>
      </c>
      <c r="U38" s="112" t="str">
        <f t="shared" si="9"/>
        <v>-</v>
      </c>
      <c r="V38" s="115" t="s">
        <v>190</v>
      </c>
    </row>
    <row r="39" spans="1:22" ht="33.75">
      <c r="A39" s="8" t="s">
        <v>149</v>
      </c>
      <c r="B39" s="15" t="s">
        <v>49</v>
      </c>
      <c r="C39" s="71" t="s">
        <v>145</v>
      </c>
      <c r="D39" s="130" t="s">
        <v>50</v>
      </c>
      <c r="F39" s="73">
        <f>'36b'!E$30</f>
        <v>0</v>
      </c>
      <c r="G39" s="74">
        <f>'36b'!E$29</f>
        <v>0</v>
      </c>
      <c r="H39" s="74">
        <f>'36b'!E$27</f>
        <v>0</v>
      </c>
      <c r="I39" s="115" t="str">
        <f>"pounds of TP reduced
per "&amp;'BMP info'!E38&amp;"
per year"</f>
        <v>pounds of TP reduced
per system
per year</v>
      </c>
      <c r="J39" s="83"/>
      <c r="K39" s="103">
        <f>'36b'!D$34</f>
        <v>750</v>
      </c>
      <c r="L39" s="115" t="str">
        <f>"per "&amp;'BMP info'!E38&amp;"
per year"</f>
        <v>per system
per year</v>
      </c>
      <c r="M39" s="83"/>
      <c r="N39" s="62">
        <f t="shared" si="10"/>
        <v>0</v>
      </c>
      <c r="O39" s="75">
        <f t="shared" si="11"/>
        <v>0</v>
      </c>
      <c r="P39" s="75">
        <f t="shared" si="12"/>
        <v>0</v>
      </c>
      <c r="Q39" s="115" t="s">
        <v>137</v>
      </c>
      <c r="R39" s="83"/>
      <c r="S39" s="108" t="str">
        <f t="shared" si="7"/>
        <v>-</v>
      </c>
      <c r="T39" s="112" t="str">
        <f t="shared" si="8"/>
        <v>-</v>
      </c>
      <c r="U39" s="112" t="str">
        <f t="shared" si="9"/>
        <v>-</v>
      </c>
      <c r="V39" s="115" t="s">
        <v>190</v>
      </c>
    </row>
    <row r="40" spans="1:22" ht="33.75">
      <c r="A40" s="8" t="s">
        <v>150</v>
      </c>
      <c r="B40" s="15" t="s">
        <v>49</v>
      </c>
      <c r="C40" s="71" t="s">
        <v>157</v>
      </c>
      <c r="D40" s="130" t="s">
        <v>50</v>
      </c>
      <c r="F40" s="73">
        <f>'36c'!E$30</f>
        <v>0</v>
      </c>
      <c r="G40" s="74">
        <f>'36c'!E$29</f>
        <v>0</v>
      </c>
      <c r="H40" s="74">
        <f>'36c'!E$27</f>
        <v>0</v>
      </c>
      <c r="I40" s="115" t="str">
        <f>"pounds of TP reduced
per "&amp;'BMP info'!E39&amp;"
per year"</f>
        <v>pounds of TP reduced
per system
per year</v>
      </c>
      <c r="J40" s="83"/>
      <c r="K40" s="103">
        <f>'36c'!D$34</f>
        <v>750</v>
      </c>
      <c r="L40" s="115" t="str">
        <f>"per "&amp;'BMP info'!E39&amp;"
per year"</f>
        <v>per system
per year</v>
      </c>
      <c r="M40" s="83"/>
      <c r="N40" s="62">
        <f t="shared" si="10"/>
        <v>0</v>
      </c>
      <c r="O40" s="75">
        <f t="shared" si="11"/>
        <v>0</v>
      </c>
      <c r="P40" s="75">
        <f t="shared" si="12"/>
        <v>0</v>
      </c>
      <c r="Q40" s="115" t="s">
        <v>137</v>
      </c>
      <c r="R40" s="83"/>
      <c r="S40" s="108" t="str">
        <f t="shared" si="7"/>
        <v>-</v>
      </c>
      <c r="T40" s="112" t="str">
        <f t="shared" si="8"/>
        <v>-</v>
      </c>
      <c r="U40" s="112" t="str">
        <f t="shared" si="9"/>
        <v>-</v>
      </c>
      <c r="V40" s="115" t="s">
        <v>190</v>
      </c>
    </row>
    <row r="41" spans="1:22" ht="33.75">
      <c r="A41" s="8" t="s">
        <v>151</v>
      </c>
      <c r="B41" s="15" t="s">
        <v>49</v>
      </c>
      <c r="C41" s="71" t="s">
        <v>143</v>
      </c>
      <c r="D41" s="130" t="s">
        <v>51</v>
      </c>
      <c r="F41" s="73">
        <f>'37a'!E$30</f>
        <v>0</v>
      </c>
      <c r="G41" s="74">
        <f>'37a'!E$29</f>
        <v>0</v>
      </c>
      <c r="H41" s="74">
        <f>'37a'!E$27</f>
        <v>0</v>
      </c>
      <c r="I41" s="115" t="str">
        <f>"pounds of TP reduced
per "&amp;'BMP info'!E40&amp;"
per year"</f>
        <v>pounds of TP reduced
per system
per year</v>
      </c>
      <c r="J41" s="83"/>
      <c r="K41" s="103">
        <f>'37a'!D$34</f>
        <v>736.82500000000005</v>
      </c>
      <c r="L41" s="115" t="str">
        <f>"per "&amp;'BMP info'!E40&amp;"
per year"</f>
        <v>per system
per year</v>
      </c>
      <c r="M41" s="83"/>
      <c r="N41" s="62">
        <f t="shared" si="10"/>
        <v>0</v>
      </c>
      <c r="O41" s="75">
        <f t="shared" si="11"/>
        <v>0</v>
      </c>
      <c r="P41" s="75">
        <f t="shared" si="12"/>
        <v>0</v>
      </c>
      <c r="Q41" s="115" t="s">
        <v>137</v>
      </c>
      <c r="R41" s="83"/>
      <c r="S41" s="108" t="str">
        <f t="shared" si="7"/>
        <v>-</v>
      </c>
      <c r="T41" s="112" t="str">
        <f t="shared" si="8"/>
        <v>-</v>
      </c>
      <c r="U41" s="112" t="str">
        <f t="shared" si="9"/>
        <v>-</v>
      </c>
      <c r="V41" s="115" t="s">
        <v>190</v>
      </c>
    </row>
    <row r="42" spans="1:22" ht="33.75">
      <c r="A42" s="8" t="s">
        <v>152</v>
      </c>
      <c r="B42" s="15" t="s">
        <v>49</v>
      </c>
      <c r="C42" s="71" t="s">
        <v>146</v>
      </c>
      <c r="D42" s="130" t="s">
        <v>51</v>
      </c>
      <c r="F42" s="73">
        <f>'37b'!E$30</f>
        <v>0</v>
      </c>
      <c r="G42" s="74">
        <f>'37b'!E$29</f>
        <v>0</v>
      </c>
      <c r="H42" s="74">
        <f>'37b'!E$27</f>
        <v>0</v>
      </c>
      <c r="I42" s="115" t="str">
        <f>"pounds of TP reduced
per "&amp;'BMP info'!E41&amp;"
per year"</f>
        <v>pounds of TP reduced
per system
per year</v>
      </c>
      <c r="J42" s="83"/>
      <c r="K42" s="103">
        <f>'37b'!D$34</f>
        <v>736.82500000000005</v>
      </c>
      <c r="L42" s="115" t="str">
        <f>"per "&amp;'BMP info'!E41&amp;"
per year"</f>
        <v>per system
per year</v>
      </c>
      <c r="M42" s="83"/>
      <c r="N42" s="62">
        <f t="shared" si="10"/>
        <v>0</v>
      </c>
      <c r="O42" s="75">
        <f t="shared" si="11"/>
        <v>0</v>
      </c>
      <c r="P42" s="75">
        <f t="shared" si="12"/>
        <v>0</v>
      </c>
      <c r="Q42" s="115" t="s">
        <v>137</v>
      </c>
      <c r="R42" s="83"/>
      <c r="S42" s="108" t="str">
        <f t="shared" si="7"/>
        <v>-</v>
      </c>
      <c r="T42" s="112" t="str">
        <f t="shared" si="8"/>
        <v>-</v>
      </c>
      <c r="U42" s="112" t="str">
        <f t="shared" si="9"/>
        <v>-</v>
      </c>
      <c r="V42" s="115" t="s">
        <v>190</v>
      </c>
    </row>
    <row r="43" spans="1:22" ht="33.75">
      <c r="A43" s="8" t="s">
        <v>153</v>
      </c>
      <c r="B43" s="15" t="s">
        <v>49</v>
      </c>
      <c r="C43" s="71" t="s">
        <v>158</v>
      </c>
      <c r="D43" s="130" t="s">
        <v>51</v>
      </c>
      <c r="F43" s="73">
        <f>'37c'!E$30</f>
        <v>0</v>
      </c>
      <c r="G43" s="74">
        <f>'37c'!E$29</f>
        <v>0</v>
      </c>
      <c r="H43" s="74">
        <f>'37c'!E$27</f>
        <v>0</v>
      </c>
      <c r="I43" s="115" t="str">
        <f>"pounds of TP reduced
per "&amp;'BMP info'!E42&amp;"
per year"</f>
        <v>pounds of TP reduced
per system
per year</v>
      </c>
      <c r="J43" s="83"/>
      <c r="K43" s="103">
        <f>'37c'!D$34</f>
        <v>736.82500000000005</v>
      </c>
      <c r="L43" s="115" t="str">
        <f>"per "&amp;'BMP info'!E42&amp;"
per year"</f>
        <v>per system
per year</v>
      </c>
      <c r="M43" s="83"/>
      <c r="N43" s="62">
        <f t="shared" si="10"/>
        <v>0</v>
      </c>
      <c r="O43" s="75">
        <f t="shared" si="11"/>
        <v>0</v>
      </c>
      <c r="P43" s="75">
        <f t="shared" si="12"/>
        <v>0</v>
      </c>
      <c r="Q43" s="115" t="s">
        <v>137</v>
      </c>
      <c r="R43" s="83"/>
      <c r="S43" s="108" t="str">
        <f t="shared" si="7"/>
        <v>-</v>
      </c>
      <c r="T43" s="112" t="str">
        <f t="shared" si="8"/>
        <v>-</v>
      </c>
      <c r="U43" s="112" t="str">
        <f t="shared" si="9"/>
        <v>-</v>
      </c>
      <c r="V43" s="115" t="s">
        <v>190</v>
      </c>
    </row>
    <row r="44" spans="1:22" ht="33.75">
      <c r="A44" s="8" t="s">
        <v>154</v>
      </c>
      <c r="B44" s="15" t="s">
        <v>49</v>
      </c>
      <c r="C44" s="71" t="s">
        <v>144</v>
      </c>
      <c r="D44" s="130" t="s">
        <v>52</v>
      </c>
      <c r="F44" s="73">
        <f>'38a'!E$30</f>
        <v>0</v>
      </c>
      <c r="G44" s="74">
        <f>'38a'!E$29</f>
        <v>0</v>
      </c>
      <c r="H44" s="74">
        <f>'38a'!E$27</f>
        <v>0</v>
      </c>
      <c r="I44" s="115" t="str">
        <f>"pounds of TP reduced
per "&amp;'BMP info'!E43&amp;"
per year"</f>
        <v>pounds of TP reduced
per system
per year</v>
      </c>
      <c r="J44" s="83"/>
      <c r="K44" s="103">
        <f>'38a'!D$34</f>
        <v>193</v>
      </c>
      <c r="L44" s="115" t="str">
        <f>"per "&amp;'BMP info'!E43&amp;"
per year"</f>
        <v>per system
per year</v>
      </c>
      <c r="M44" s="83"/>
      <c r="N44" s="62">
        <f t="shared" si="10"/>
        <v>0</v>
      </c>
      <c r="O44" s="75">
        <f t="shared" si="11"/>
        <v>0</v>
      </c>
      <c r="P44" s="75">
        <f t="shared" si="12"/>
        <v>0</v>
      </c>
      <c r="Q44" s="115" t="s">
        <v>137</v>
      </c>
      <c r="R44" s="83"/>
      <c r="S44" s="108" t="str">
        <f t="shared" si="7"/>
        <v>-</v>
      </c>
      <c r="T44" s="112" t="str">
        <f t="shared" si="8"/>
        <v>-</v>
      </c>
      <c r="U44" s="112" t="str">
        <f t="shared" si="9"/>
        <v>-</v>
      </c>
      <c r="V44" s="115" t="s">
        <v>190</v>
      </c>
    </row>
    <row r="45" spans="1:22" ht="33.75">
      <c r="A45" s="8" t="s">
        <v>155</v>
      </c>
      <c r="B45" s="15" t="s">
        <v>49</v>
      </c>
      <c r="C45" s="71" t="s">
        <v>147</v>
      </c>
      <c r="D45" s="130" t="s">
        <v>52</v>
      </c>
      <c r="F45" s="73">
        <f>'38b'!E$30</f>
        <v>0</v>
      </c>
      <c r="G45" s="74">
        <f>'38b'!E$29</f>
        <v>0</v>
      </c>
      <c r="H45" s="74">
        <f>'38b'!E$27</f>
        <v>0</v>
      </c>
      <c r="I45" s="115" t="str">
        <f>"pounds of TP reduced
per "&amp;'BMP info'!E44&amp;"
per year"</f>
        <v>pounds of TP reduced
per system
per year</v>
      </c>
      <c r="J45" s="83"/>
      <c r="K45" s="103">
        <f>'38b'!D$34</f>
        <v>193</v>
      </c>
      <c r="L45" s="115" t="str">
        <f>"per "&amp;'BMP info'!E44&amp;"
per year"</f>
        <v>per system
per year</v>
      </c>
      <c r="M45" s="83"/>
      <c r="N45" s="62">
        <f t="shared" si="10"/>
        <v>0</v>
      </c>
      <c r="O45" s="75">
        <f t="shared" si="11"/>
        <v>0</v>
      </c>
      <c r="P45" s="75">
        <f t="shared" si="12"/>
        <v>0</v>
      </c>
      <c r="Q45" s="115" t="s">
        <v>137</v>
      </c>
      <c r="R45" s="83"/>
      <c r="S45" s="108" t="str">
        <f t="shared" si="7"/>
        <v>-</v>
      </c>
      <c r="T45" s="112" t="str">
        <f t="shared" si="8"/>
        <v>-</v>
      </c>
      <c r="U45" s="112" t="str">
        <f t="shared" si="9"/>
        <v>-</v>
      </c>
      <c r="V45" s="115" t="s">
        <v>190</v>
      </c>
    </row>
    <row r="46" spans="1:22" ht="33.75">
      <c r="A46" s="8" t="s">
        <v>156</v>
      </c>
      <c r="B46" s="15" t="s">
        <v>49</v>
      </c>
      <c r="C46" s="71" t="s">
        <v>159</v>
      </c>
      <c r="D46" s="130" t="s">
        <v>52</v>
      </c>
      <c r="F46" s="73">
        <f>'38c'!E$30</f>
        <v>0</v>
      </c>
      <c r="G46" s="74">
        <f>'38c'!E$29</f>
        <v>0</v>
      </c>
      <c r="H46" s="74">
        <f>'38c'!E$27</f>
        <v>0</v>
      </c>
      <c r="I46" s="115" t="str">
        <f>"pounds of TP reduced
per "&amp;'BMP info'!E45&amp;"
per year"</f>
        <v>pounds of TP reduced
per system
per year</v>
      </c>
      <c r="J46" s="83"/>
      <c r="K46" s="103">
        <f>'38c'!D$34</f>
        <v>193</v>
      </c>
      <c r="L46" s="115" t="str">
        <f>"per "&amp;'BMP info'!E45&amp;"
per year"</f>
        <v>per system
per year</v>
      </c>
      <c r="M46" s="83"/>
      <c r="N46" s="62">
        <f t="shared" si="10"/>
        <v>0</v>
      </c>
      <c r="O46" s="75">
        <f t="shared" si="11"/>
        <v>0</v>
      </c>
      <c r="P46" s="75">
        <f t="shared" si="12"/>
        <v>0</v>
      </c>
      <c r="Q46" s="115" t="s">
        <v>137</v>
      </c>
      <c r="R46" s="83"/>
      <c r="S46" s="108" t="str">
        <f t="shared" si="7"/>
        <v>-</v>
      </c>
      <c r="T46" s="112" t="str">
        <f t="shared" si="8"/>
        <v>-</v>
      </c>
      <c r="U46" s="112" t="str">
        <f t="shared" si="9"/>
        <v>-</v>
      </c>
      <c r="V46" s="115" t="s">
        <v>190</v>
      </c>
    </row>
    <row r="47" spans="1:22" ht="33.75" customHeight="1">
      <c r="A47" s="8">
        <v>39</v>
      </c>
      <c r="B47" s="16" t="s">
        <v>69</v>
      </c>
      <c r="C47" s="71" t="s">
        <v>21</v>
      </c>
      <c r="D47" s="66" t="s">
        <v>22</v>
      </c>
      <c r="F47" s="73">
        <f>'39'!E$30</f>
        <v>2.5633155669913625</v>
      </c>
      <c r="G47" s="74">
        <f>'39'!E$29</f>
        <v>5.5345753297847731</v>
      </c>
      <c r="H47" s="74">
        <f>'39'!E$27</f>
        <v>5.53458622300478</v>
      </c>
      <c r="I47" s="115" t="str">
        <f>"pounds of TP reduced
per "&amp;'BMP info'!E46&amp;"
per year"</f>
        <v>pounds of TP reduced
per acre
per year</v>
      </c>
      <c r="J47" s="83"/>
      <c r="K47" s="102">
        <f>'39'!D$34</f>
        <v>0</v>
      </c>
      <c r="L47" s="115" t="str">
        <f>"per "&amp;'BMP info'!E46&amp;"
per year"</f>
        <v>per acre
per year</v>
      </c>
      <c r="M47" s="83"/>
      <c r="N47" s="76" t="str">
        <f t="shared" si="10"/>
        <v>-</v>
      </c>
      <c r="O47" s="77" t="str">
        <f t="shared" si="11"/>
        <v>-</v>
      </c>
      <c r="P47" s="77" t="str">
        <f t="shared" si="12"/>
        <v>-</v>
      </c>
      <c r="Q47" s="115" t="s">
        <v>137</v>
      </c>
      <c r="R47" s="83"/>
      <c r="S47" s="106" t="str">
        <f t="shared" si="7"/>
        <v>-</v>
      </c>
      <c r="T47" s="107" t="str">
        <f t="shared" si="8"/>
        <v>-</v>
      </c>
      <c r="U47" s="107" t="str">
        <f t="shared" si="9"/>
        <v>-</v>
      </c>
      <c r="V47" s="115" t="s">
        <v>190</v>
      </c>
    </row>
    <row r="48" spans="1:22" ht="33.75" customHeight="1">
      <c r="A48" s="8">
        <v>40</v>
      </c>
      <c r="B48" s="16" t="s">
        <v>69</v>
      </c>
      <c r="C48" s="71" t="s">
        <v>290</v>
      </c>
      <c r="D48" s="66" t="s">
        <v>139</v>
      </c>
      <c r="F48" s="73">
        <f>'40'!E$30</f>
        <v>0.227920923</v>
      </c>
      <c r="G48" s="74">
        <f>'40'!E$29</f>
        <v>0.43577164299999999</v>
      </c>
      <c r="H48" s="74">
        <f>'40'!E$27</f>
        <v>0.75401198800000002</v>
      </c>
      <c r="I48" s="115" t="str">
        <f>"pounds of TP reduced
per "&amp;'BMP info'!E47&amp;"
per year"</f>
        <v>pounds of TP reduced
per acre treated
per year</v>
      </c>
      <c r="J48" s="83"/>
      <c r="K48" s="103">
        <f>'40'!D$34</f>
        <v>1038.5999999999999</v>
      </c>
      <c r="L48" s="115" t="str">
        <f>"per "&amp;'BMP info'!E47&amp;"
per year"</f>
        <v>per acre treated
per year</v>
      </c>
      <c r="M48" s="83"/>
      <c r="N48" s="62">
        <f t="shared" ref="N48:N66" si="13">IF($K48=0,"-",1000*F48/$K48)</f>
        <v>0.2194501473136915</v>
      </c>
      <c r="O48" s="63">
        <f t="shared" ref="O48:O66" si="14">IF($K48=0,"-",1000*G48/$K48)</f>
        <v>0.41957600905064513</v>
      </c>
      <c r="P48" s="63">
        <f t="shared" ref="P48:P66" si="15">IF($K48=0,"-",1000*H48/$K48)</f>
        <v>0.72598881956479877</v>
      </c>
      <c r="Q48" s="115" t="s">
        <v>137</v>
      </c>
      <c r="R48" s="83"/>
      <c r="S48" s="108">
        <f t="shared" ref="S48:S66" si="16">IF($K48*H48=0,"-",$K48/H48)</f>
        <v>1377.4316808342307</v>
      </c>
      <c r="T48" s="109">
        <f t="shared" ref="T48:T66" si="17">IF($K48*G48=0,"-",$K48/G48)</f>
        <v>2383.3583866309536</v>
      </c>
      <c r="U48" s="109">
        <f t="shared" ref="U48:U66" si="18">IF($K48*F48=0,"-",$K48/F48)</f>
        <v>4556.8436031649444</v>
      </c>
      <c r="V48" s="115" t="s">
        <v>190</v>
      </c>
    </row>
    <row r="49" spans="1:22" ht="33.75" customHeight="1">
      <c r="A49" s="8">
        <v>41</v>
      </c>
      <c r="B49" s="16" t="s">
        <v>69</v>
      </c>
      <c r="C49" s="71" t="s">
        <v>280</v>
      </c>
      <c r="D49" s="66" t="s">
        <v>23</v>
      </c>
      <c r="F49" s="73">
        <f>'41'!E$30</f>
        <v>0.31446747400000002</v>
      </c>
      <c r="G49" s="74">
        <f>'41'!E$29</f>
        <v>0.71647855500000002</v>
      </c>
      <c r="H49" s="74">
        <f>'41'!E$27</f>
        <v>1.075736325</v>
      </c>
      <c r="I49" s="115" t="str">
        <f>"pounds of TP reduced
per "&amp;'BMP info'!E48&amp;"
per year"</f>
        <v>pounds of TP reduced
per acre treated
per year</v>
      </c>
      <c r="J49" s="83"/>
      <c r="K49" s="103">
        <f>'41'!D$34</f>
        <v>827.45</v>
      </c>
      <c r="L49" s="115" t="str">
        <f>"per "&amp;'BMP info'!E48&amp;"
per year"</f>
        <v>per acre treated
per year</v>
      </c>
      <c r="M49" s="83"/>
      <c r="N49" s="62">
        <f t="shared" si="13"/>
        <v>0.38004408000483414</v>
      </c>
      <c r="O49" s="63">
        <f t="shared" si="14"/>
        <v>0.865887431264729</v>
      </c>
      <c r="P49" s="63">
        <f t="shared" si="15"/>
        <v>1.3000620279170947</v>
      </c>
      <c r="Q49" s="115" t="s">
        <v>137</v>
      </c>
      <c r="R49" s="83"/>
      <c r="S49" s="108">
        <f t="shared" si="16"/>
        <v>769.19406807239682</v>
      </c>
      <c r="T49" s="109">
        <f t="shared" si="17"/>
        <v>1154.8845310520146</v>
      </c>
      <c r="U49" s="109">
        <f t="shared" si="18"/>
        <v>2631.2737195834757</v>
      </c>
      <c r="V49" s="115" t="s">
        <v>190</v>
      </c>
    </row>
    <row r="50" spans="1:22" ht="33.75" customHeight="1">
      <c r="A50" s="8">
        <v>42</v>
      </c>
      <c r="B50" s="16" t="s">
        <v>69</v>
      </c>
      <c r="C50" s="71" t="s">
        <v>281</v>
      </c>
      <c r="D50" s="66" t="s">
        <v>24</v>
      </c>
      <c r="F50" s="73">
        <f>'42'!E$30</f>
        <v>4.8226136000000003E-2</v>
      </c>
      <c r="G50" s="74">
        <f>'42'!E$29</f>
        <v>5.9829060000000003E-2</v>
      </c>
      <c r="H50" s="74">
        <f>'42'!E$27</f>
        <v>0.114698035</v>
      </c>
      <c r="I50" s="115" t="str">
        <f>"pounds of TP reduced
per "&amp;'BMP info'!E49&amp;"
per year"</f>
        <v>pounds of TP reduced
per acre treated
per year</v>
      </c>
      <c r="J50" s="83"/>
      <c r="K50" s="103">
        <f>'42'!D$34</f>
        <v>1120.8499999999999</v>
      </c>
      <c r="L50" s="115" t="str">
        <f>"per "&amp;'BMP info'!E49&amp;"
per year"</f>
        <v>per acre treated
per year</v>
      </c>
      <c r="M50" s="83"/>
      <c r="N50" s="62">
        <f t="shared" si="13"/>
        <v>4.3026396038720618E-2</v>
      </c>
      <c r="O50" s="63">
        <f t="shared" si="14"/>
        <v>5.3378293259579795E-2</v>
      </c>
      <c r="P50" s="63">
        <f t="shared" si="15"/>
        <v>0.102331297675871</v>
      </c>
      <c r="Q50" s="115" t="s">
        <v>137</v>
      </c>
      <c r="R50" s="83"/>
      <c r="S50" s="108">
        <f t="shared" si="16"/>
        <v>9772.1813630024244</v>
      </c>
      <c r="T50" s="109">
        <f t="shared" si="17"/>
        <v>18734.207089330834</v>
      </c>
      <c r="U50" s="109">
        <f t="shared" si="18"/>
        <v>23241.54686579078</v>
      </c>
      <c r="V50" s="115" t="s">
        <v>190</v>
      </c>
    </row>
    <row r="51" spans="1:22" ht="33.75" customHeight="1">
      <c r="A51" s="8">
        <v>43</v>
      </c>
      <c r="B51" s="16" t="s">
        <v>69</v>
      </c>
      <c r="C51" s="71" t="s">
        <v>26</v>
      </c>
      <c r="D51" s="66" t="s">
        <v>27</v>
      </c>
      <c r="F51" s="73">
        <f>'43'!E$30</f>
        <v>1.433030588</v>
      </c>
      <c r="G51" s="74">
        <f>'43'!E$29</f>
        <v>2.0383773779999999</v>
      </c>
      <c r="H51" s="74">
        <f>'43'!E$27</f>
        <v>4.1523385619999997</v>
      </c>
      <c r="I51" s="115" t="str">
        <f>"pounds of TP reduced
per "&amp;'BMP info'!E50&amp;"
per year"</f>
        <v>pounds of TP reduced
per acre treated
per year</v>
      </c>
      <c r="J51" s="83"/>
      <c r="K51" s="103">
        <f>'43'!D$34</f>
        <v>1305</v>
      </c>
      <c r="L51" s="115" t="str">
        <f>"per "&amp;'BMP info'!E50&amp;"
per year"</f>
        <v>per acre treated
per year</v>
      </c>
      <c r="M51" s="83"/>
      <c r="N51" s="62">
        <f t="shared" si="13"/>
        <v>1.0981077302681992</v>
      </c>
      <c r="O51" s="63">
        <f t="shared" si="14"/>
        <v>1.5619750022988506</v>
      </c>
      <c r="P51" s="63">
        <f t="shared" si="15"/>
        <v>3.1818686298850576</v>
      </c>
      <c r="Q51" s="115" t="s">
        <v>137</v>
      </c>
      <c r="R51" s="83"/>
      <c r="S51" s="108">
        <f t="shared" si="16"/>
        <v>314.2807313311751</v>
      </c>
      <c r="T51" s="109">
        <f t="shared" si="17"/>
        <v>640.21511133548313</v>
      </c>
      <c r="U51" s="109">
        <f t="shared" si="18"/>
        <v>910.65746323064525</v>
      </c>
      <c r="V51" s="115" t="s">
        <v>190</v>
      </c>
    </row>
    <row r="52" spans="1:22" ht="33.75" customHeight="1">
      <c r="A52" s="8">
        <v>44</v>
      </c>
      <c r="B52" s="16" t="s">
        <v>69</v>
      </c>
      <c r="C52" s="71" t="s">
        <v>66</v>
      </c>
      <c r="D52" s="66" t="s">
        <v>28</v>
      </c>
      <c r="F52" s="73">
        <f>'44'!E$30</f>
        <v>0.67</v>
      </c>
      <c r="G52" s="74">
        <f>'44'!E$29</f>
        <v>2.25</v>
      </c>
      <c r="H52" s="74">
        <f>'44'!E$27</f>
        <v>2.2999999999999998</v>
      </c>
      <c r="I52" s="115" t="str">
        <f>"pounds of TP reduced
per "&amp;'BMP info'!E51&amp;"
per year"</f>
        <v>pounds of TP reduced
per acre treated
per year</v>
      </c>
      <c r="J52" s="83"/>
      <c r="K52" s="103">
        <f>'44'!D$34</f>
        <v>1305</v>
      </c>
      <c r="L52" s="115" t="str">
        <f>"per "&amp;'BMP info'!E51&amp;"
per year"</f>
        <v>per acre treated
per year</v>
      </c>
      <c r="M52" s="83"/>
      <c r="N52" s="62">
        <f t="shared" si="13"/>
        <v>0.51340996168582376</v>
      </c>
      <c r="O52" s="63">
        <f t="shared" si="14"/>
        <v>1.7241379310344827</v>
      </c>
      <c r="P52" s="63">
        <f t="shared" si="15"/>
        <v>1.7624521072796935</v>
      </c>
      <c r="Q52" s="115" t="s">
        <v>137</v>
      </c>
      <c r="R52" s="83"/>
      <c r="S52" s="108">
        <f t="shared" si="16"/>
        <v>567.39130434782612</v>
      </c>
      <c r="T52" s="109">
        <f t="shared" si="17"/>
        <v>580</v>
      </c>
      <c r="U52" s="109">
        <f t="shared" si="18"/>
        <v>1947.7611940298507</v>
      </c>
      <c r="V52" s="115" t="s">
        <v>190</v>
      </c>
    </row>
    <row r="53" spans="1:22" ht="33.75" customHeight="1">
      <c r="A53" s="8">
        <v>45</v>
      </c>
      <c r="B53" s="16" t="s">
        <v>69</v>
      </c>
      <c r="C53" s="71" t="s">
        <v>282</v>
      </c>
      <c r="D53" s="66" t="s">
        <v>25</v>
      </c>
      <c r="F53" s="73">
        <f>'45'!E$30</f>
        <v>9.6709620999999996E-2</v>
      </c>
      <c r="G53" s="74">
        <f>'45'!E$29</f>
        <v>0.121763754</v>
      </c>
      <c r="H53" s="74">
        <f>'45'!E$27</f>
        <v>0.231544269</v>
      </c>
      <c r="I53" s="115" t="str">
        <f>"pounds of TP reduced
per "&amp;'BMP info'!E52&amp;"
per year"</f>
        <v>pounds of TP reduced
per acre treated
per year</v>
      </c>
      <c r="J53" s="83"/>
      <c r="K53" s="103">
        <f>'45'!D$34</f>
        <v>614.75</v>
      </c>
      <c r="L53" s="115" t="str">
        <f>"per "&amp;'BMP info'!E52&amp;"
per year"</f>
        <v>per acre treated
per year</v>
      </c>
      <c r="M53" s="83"/>
      <c r="N53" s="62">
        <f t="shared" si="13"/>
        <v>0.15731536559577064</v>
      </c>
      <c r="O53" s="63">
        <f t="shared" si="14"/>
        <v>0.19807036030906874</v>
      </c>
      <c r="P53" s="63">
        <f t="shared" si="15"/>
        <v>0.37664785522570149</v>
      </c>
      <c r="Q53" s="115" t="s">
        <v>137</v>
      </c>
      <c r="R53" s="83"/>
      <c r="S53" s="108">
        <f t="shared" si="16"/>
        <v>2654.9998523176578</v>
      </c>
      <c r="T53" s="109">
        <f t="shared" si="17"/>
        <v>5048.7109653337393</v>
      </c>
      <c r="U53" s="109">
        <f t="shared" si="18"/>
        <v>6356.6581446948285</v>
      </c>
      <c r="V53" s="115" t="s">
        <v>190</v>
      </c>
    </row>
    <row r="54" spans="1:22" ht="33.75" customHeight="1">
      <c r="A54" s="8">
        <v>46</v>
      </c>
      <c r="B54" s="16" t="s">
        <v>69</v>
      </c>
      <c r="C54" s="71" t="s">
        <v>283</v>
      </c>
      <c r="D54" s="66" t="s">
        <v>36</v>
      </c>
      <c r="F54" s="73">
        <f>'46'!E$30</f>
        <v>0.22070350799999999</v>
      </c>
      <c r="G54" s="74">
        <f>'46'!E$29</f>
        <v>0.30813575399999998</v>
      </c>
      <c r="H54" s="74">
        <f>'46'!E$27</f>
        <v>0.59592772299999996</v>
      </c>
      <c r="I54" s="115" t="str">
        <f>"pounds of TP reduced
per "&amp;'BMP info'!E53&amp;"
per year"</f>
        <v>pounds of TP reduced
per acre treated
per year</v>
      </c>
      <c r="J54" s="83"/>
      <c r="K54" s="103">
        <f>'46'!D$34</f>
        <v>1465.35</v>
      </c>
      <c r="L54" s="115" t="str">
        <f>"per "&amp;'BMP info'!E53&amp;"
per year"</f>
        <v>per acre treated
per year</v>
      </c>
      <c r="M54" s="83"/>
      <c r="N54" s="62">
        <f t="shared" si="13"/>
        <v>0.15061487562698334</v>
      </c>
      <c r="O54" s="63">
        <f t="shared" si="14"/>
        <v>0.21028133483468112</v>
      </c>
      <c r="P54" s="63">
        <f t="shared" si="15"/>
        <v>0.40667944381888288</v>
      </c>
      <c r="Q54" s="115" t="s">
        <v>137</v>
      </c>
      <c r="R54" s="83"/>
      <c r="S54" s="108">
        <f t="shared" si="16"/>
        <v>2458.9391354763334</v>
      </c>
      <c r="T54" s="109">
        <f t="shared" si="17"/>
        <v>4755.5338222775663</v>
      </c>
      <c r="U54" s="109">
        <f t="shared" si="18"/>
        <v>6639.4504250471628</v>
      </c>
      <c r="V54" s="115" t="s">
        <v>190</v>
      </c>
    </row>
    <row r="55" spans="1:22" ht="33.75" customHeight="1">
      <c r="A55" s="8">
        <v>47</v>
      </c>
      <c r="B55" s="16" t="s">
        <v>69</v>
      </c>
      <c r="C55" s="71" t="s">
        <v>37</v>
      </c>
      <c r="D55" s="66" t="s">
        <v>38</v>
      </c>
      <c r="F55" s="73">
        <f>'47'!E$30</f>
        <v>0.27934134999999999</v>
      </c>
      <c r="G55" s="74">
        <f>'47'!E$29</f>
        <v>0.468428962</v>
      </c>
      <c r="H55" s="74">
        <f>'47'!E$27</f>
        <v>0.85599157000000003</v>
      </c>
      <c r="I55" s="115" t="str">
        <f>"pounds of TP reduced
per "&amp;'BMP info'!E54&amp;"
per year"</f>
        <v>pounds of TP reduced
per acre
per year</v>
      </c>
      <c r="J55" s="83"/>
      <c r="K55" s="104">
        <f>'47'!D$34</f>
        <v>531.375</v>
      </c>
      <c r="L55" s="115" t="str">
        <f>"per "&amp;'BMP info'!E54&amp;"
per year"</f>
        <v>per acre
per year</v>
      </c>
      <c r="M55" s="83"/>
      <c r="N55" s="62">
        <f t="shared" si="13"/>
        <v>0.52569531874852971</v>
      </c>
      <c r="O55" s="63">
        <f t="shared" si="14"/>
        <v>0.88154121289108445</v>
      </c>
      <c r="P55" s="63">
        <f t="shared" si="15"/>
        <v>1.6108992143025171</v>
      </c>
      <c r="Q55" s="115" t="s">
        <v>137</v>
      </c>
      <c r="R55" s="83"/>
      <c r="S55" s="108">
        <f t="shared" si="16"/>
        <v>620.7713003528761</v>
      </c>
      <c r="T55" s="109">
        <f t="shared" si="17"/>
        <v>1134.3769132703626</v>
      </c>
      <c r="U55" s="109">
        <f t="shared" si="18"/>
        <v>1902.2425430391886</v>
      </c>
      <c r="V55" s="115" t="s">
        <v>190</v>
      </c>
    </row>
    <row r="56" spans="1:22" ht="33.75" customHeight="1">
      <c r="A56" s="8">
        <v>48</v>
      </c>
      <c r="B56" s="16" t="s">
        <v>69</v>
      </c>
      <c r="C56" s="71" t="s">
        <v>29</v>
      </c>
      <c r="D56" s="66" t="s">
        <v>30</v>
      </c>
      <c r="F56" s="73">
        <f>'48'!E$30</f>
        <v>0.14562478300000001</v>
      </c>
      <c r="G56" s="74">
        <f>'48'!E$29</f>
        <v>0.299662123</v>
      </c>
      <c r="H56" s="74">
        <f>'48'!E$27</f>
        <v>0.44578558600000001</v>
      </c>
      <c r="I56" s="115" t="str">
        <f>"pounds of TP reduced
per "&amp;'BMP info'!E55&amp;"
per year"</f>
        <v>pounds of TP reduced
per acre
per year</v>
      </c>
      <c r="J56" s="83"/>
      <c r="K56" s="104">
        <f>'48'!D$34</f>
        <v>0</v>
      </c>
      <c r="L56" s="115" t="str">
        <f>"per "&amp;'BMP info'!E55&amp;"
per year"</f>
        <v>per acre
per year</v>
      </c>
      <c r="M56" s="83"/>
      <c r="N56" s="62" t="str">
        <f t="shared" si="13"/>
        <v>-</v>
      </c>
      <c r="O56" s="63" t="str">
        <f t="shared" si="14"/>
        <v>-</v>
      </c>
      <c r="P56" s="63" t="str">
        <f t="shared" si="15"/>
        <v>-</v>
      </c>
      <c r="Q56" s="115" t="s">
        <v>137</v>
      </c>
      <c r="R56" s="83"/>
      <c r="S56" s="108" t="str">
        <f t="shared" si="16"/>
        <v>-</v>
      </c>
      <c r="T56" s="109" t="str">
        <f t="shared" si="17"/>
        <v>-</v>
      </c>
      <c r="U56" s="109" t="str">
        <f t="shared" si="18"/>
        <v>-</v>
      </c>
      <c r="V56" s="115" t="s">
        <v>190</v>
      </c>
    </row>
    <row r="57" spans="1:22" ht="33.75" customHeight="1">
      <c r="A57" s="8">
        <v>49</v>
      </c>
      <c r="B57" s="16" t="s">
        <v>69</v>
      </c>
      <c r="C57" s="71" t="s">
        <v>31</v>
      </c>
      <c r="D57" s="66" t="s">
        <v>32</v>
      </c>
      <c r="F57" s="73">
        <f>'49'!E$30</f>
        <v>0.72758820099999999</v>
      </c>
      <c r="G57" s="74">
        <f>'49'!E$29</f>
        <v>1.1177686689999999</v>
      </c>
      <c r="H57" s="74">
        <f>'49'!E$27</f>
        <v>1.477783012</v>
      </c>
      <c r="I57" s="115" t="str">
        <f>"pounds of TP reduced
per "&amp;'BMP info'!E56&amp;"
per year"</f>
        <v>pounds of TP reduced
per acre
per year</v>
      </c>
      <c r="J57" s="83"/>
      <c r="K57" s="104">
        <f>'49'!D$34</f>
        <v>8684.6</v>
      </c>
      <c r="L57" s="115" t="str">
        <f>"per "&amp;'BMP info'!E56&amp;"
per year"</f>
        <v>per acre
per year</v>
      </c>
      <c r="M57" s="83"/>
      <c r="N57" s="62">
        <f t="shared" si="13"/>
        <v>8.3779126384634875E-2</v>
      </c>
      <c r="O57" s="63">
        <f t="shared" si="14"/>
        <v>0.12870698351104254</v>
      </c>
      <c r="P57" s="63">
        <f t="shared" si="15"/>
        <v>0.1701613214195242</v>
      </c>
      <c r="Q57" s="115" t="s">
        <v>137</v>
      </c>
      <c r="R57" s="83"/>
      <c r="S57" s="108">
        <f t="shared" si="16"/>
        <v>5876.7761772051017</v>
      </c>
      <c r="T57" s="109">
        <f t="shared" si="17"/>
        <v>7769.5861772271601</v>
      </c>
      <c r="U57" s="109">
        <f t="shared" si="18"/>
        <v>11936.147381257493</v>
      </c>
      <c r="V57" s="115" t="s">
        <v>190</v>
      </c>
    </row>
    <row r="58" spans="1:22" ht="33.75" customHeight="1">
      <c r="A58" s="8">
        <v>50</v>
      </c>
      <c r="B58" s="16" t="s">
        <v>69</v>
      </c>
      <c r="C58" s="71" t="s">
        <v>284</v>
      </c>
      <c r="D58" s="66" t="s">
        <v>39</v>
      </c>
      <c r="F58" s="73">
        <f>'50'!E$30</f>
        <v>0.37726915799999999</v>
      </c>
      <c r="G58" s="74">
        <f>'50'!E$29</f>
        <v>0.50050494899999998</v>
      </c>
      <c r="H58" s="74">
        <f>'50'!E$27</f>
        <v>1.000724537</v>
      </c>
      <c r="I58" s="115" t="str">
        <f>"pounds of TP reduced
per "&amp;'BMP info'!E57&amp;"
per year"</f>
        <v>pounds of TP reduced
per acre treated
per year</v>
      </c>
      <c r="J58" s="83"/>
      <c r="K58" s="103">
        <f>'50'!D$34</f>
        <v>1114.9000000000001</v>
      </c>
      <c r="L58" s="115" t="str">
        <f>"per "&amp;'BMP info'!E57&amp;"
per year"</f>
        <v>per acre treated
per year</v>
      </c>
      <c r="M58" s="83"/>
      <c r="N58" s="62">
        <f t="shared" si="13"/>
        <v>0.33838833796753071</v>
      </c>
      <c r="O58" s="63">
        <f t="shared" si="14"/>
        <v>0.44892362454031742</v>
      </c>
      <c r="P58" s="63">
        <f t="shared" si="15"/>
        <v>0.89759129697730722</v>
      </c>
      <c r="Q58" s="115" t="s">
        <v>137</v>
      </c>
      <c r="R58" s="83"/>
      <c r="S58" s="108">
        <f t="shared" si="16"/>
        <v>1114.09279854602</v>
      </c>
      <c r="T58" s="109">
        <f t="shared" si="17"/>
        <v>2227.5504013048235</v>
      </c>
      <c r="U58" s="109">
        <f t="shared" si="18"/>
        <v>2955.1845846884735</v>
      </c>
      <c r="V58" s="115" t="s">
        <v>190</v>
      </c>
    </row>
    <row r="59" spans="1:22" ht="33.75" customHeight="1">
      <c r="A59" s="8">
        <v>51</v>
      </c>
      <c r="B59" s="16" t="s">
        <v>69</v>
      </c>
      <c r="C59" s="71" t="s">
        <v>285</v>
      </c>
      <c r="D59" s="66" t="s">
        <v>40</v>
      </c>
      <c r="F59" s="73">
        <f>'51'!E$30</f>
        <v>0.45785940200000003</v>
      </c>
      <c r="G59" s="74">
        <f>'51'!E$29</f>
        <v>0.54022793599999996</v>
      </c>
      <c r="H59" s="74">
        <f>'51'!E$27</f>
        <v>0.88590403299999998</v>
      </c>
      <c r="I59" s="115" t="str">
        <f>"pounds of TP reduced
per "&amp;'BMP info'!E58&amp;"
per year"</f>
        <v>pounds of TP reduced
per acre treated
per year</v>
      </c>
      <c r="J59" s="83"/>
      <c r="K59" s="103">
        <f>'51'!D$34</f>
        <v>1137.4000000000001</v>
      </c>
      <c r="L59" s="115" t="str">
        <f>"per "&amp;'BMP info'!E58&amp;"
per year"</f>
        <v>per acre treated
per year</v>
      </c>
      <c r="M59" s="83"/>
      <c r="N59" s="62">
        <f t="shared" si="13"/>
        <v>0.40254914893617022</v>
      </c>
      <c r="O59" s="63">
        <f t="shared" si="14"/>
        <v>0.47496741339898008</v>
      </c>
      <c r="P59" s="63">
        <f t="shared" si="15"/>
        <v>0.77888520573237208</v>
      </c>
      <c r="Q59" s="115" t="s">
        <v>137</v>
      </c>
      <c r="R59" s="83"/>
      <c r="S59" s="108">
        <f t="shared" si="16"/>
        <v>1283.8862423374926</v>
      </c>
      <c r="T59" s="109">
        <f t="shared" si="17"/>
        <v>2105.4075959522393</v>
      </c>
      <c r="U59" s="109">
        <f t="shared" si="18"/>
        <v>2484.1687099394762</v>
      </c>
      <c r="V59" s="115" t="s">
        <v>190</v>
      </c>
    </row>
    <row r="60" spans="1:22" ht="33.75" customHeight="1">
      <c r="A60" s="8">
        <v>52</v>
      </c>
      <c r="B60" s="16" t="s">
        <v>69</v>
      </c>
      <c r="C60" s="71" t="s">
        <v>286</v>
      </c>
      <c r="D60" s="66" t="s">
        <v>138</v>
      </c>
      <c r="F60" s="73">
        <f>'52'!E$30</f>
        <v>0.316286448</v>
      </c>
      <c r="G60" s="74">
        <f>'52'!E$29</f>
        <v>0.34283413899999998</v>
      </c>
      <c r="H60" s="74">
        <f>'52'!E$27</f>
        <v>0.34950634699999999</v>
      </c>
      <c r="I60" s="115" t="str">
        <f>"pounds of TP reduced
per "&amp;'BMP info'!E59&amp;"
per year"</f>
        <v>pounds of TP reduced
per acre treated
per year</v>
      </c>
      <c r="J60" s="83"/>
      <c r="K60" s="104">
        <f>'52'!D$34</f>
        <v>4957.6499999999996</v>
      </c>
      <c r="L60" s="115" t="str">
        <f>"per "&amp;'BMP info'!E59&amp;"
per year"</f>
        <v>per acre treated
per year</v>
      </c>
      <c r="M60" s="83"/>
      <c r="N60" s="62">
        <f t="shared" si="13"/>
        <v>6.3797655744152984E-2</v>
      </c>
      <c r="O60" s="63">
        <f t="shared" si="14"/>
        <v>6.9152549897632962E-2</v>
      </c>
      <c r="P60" s="63">
        <f t="shared" si="15"/>
        <v>7.0498390769820382E-2</v>
      </c>
      <c r="Q60" s="115" t="s">
        <v>137</v>
      </c>
      <c r="R60" s="83"/>
      <c r="S60" s="108">
        <f t="shared" si="16"/>
        <v>14184.720942993346</v>
      </c>
      <c r="T60" s="109">
        <f t="shared" si="17"/>
        <v>14460.782740192626</v>
      </c>
      <c r="U60" s="109">
        <f t="shared" si="18"/>
        <v>15674.557134360684</v>
      </c>
      <c r="V60" s="115" t="s">
        <v>190</v>
      </c>
    </row>
    <row r="61" spans="1:22" ht="33.75" customHeight="1">
      <c r="A61" s="8">
        <v>53</v>
      </c>
      <c r="B61" s="16" t="s">
        <v>69</v>
      </c>
      <c r="C61" s="71" t="s">
        <v>287</v>
      </c>
      <c r="D61" s="66" t="s">
        <v>33</v>
      </c>
      <c r="F61" s="73">
        <f>'53'!E$30</f>
        <v>0.198750804</v>
      </c>
      <c r="G61" s="74">
        <f>'53'!E$29</f>
        <v>0.300728514</v>
      </c>
      <c r="H61" s="74">
        <f>'53'!E$27</f>
        <v>0.40007814200000003</v>
      </c>
      <c r="I61" s="115" t="str">
        <f>"pounds of TP reduced
per "&amp;'BMP info'!E60&amp;"
per year"</f>
        <v>pounds of TP reduced
per acre treated
per year</v>
      </c>
      <c r="J61" s="83"/>
      <c r="K61" s="103">
        <f>'53'!D$34</f>
        <v>1621.6</v>
      </c>
      <c r="L61" s="115" t="str">
        <f>"per "&amp;'BMP info'!E60&amp;"
per year"</f>
        <v>per acre treated
per year</v>
      </c>
      <c r="M61" s="83"/>
      <c r="N61" s="62">
        <f t="shared" si="13"/>
        <v>0.12256462999506662</v>
      </c>
      <c r="O61" s="63">
        <f t="shared" si="14"/>
        <v>0.18545172298963988</v>
      </c>
      <c r="P61" s="63">
        <f t="shared" si="15"/>
        <v>0.24671814380858414</v>
      </c>
      <c r="Q61" s="115" t="s">
        <v>137</v>
      </c>
      <c r="R61" s="83"/>
      <c r="S61" s="108">
        <f t="shared" si="16"/>
        <v>4053.2081855149181</v>
      </c>
      <c r="T61" s="109">
        <f t="shared" si="17"/>
        <v>5392.2389281649557</v>
      </c>
      <c r="U61" s="109">
        <f t="shared" si="18"/>
        <v>8158.9607053866303</v>
      </c>
      <c r="V61" s="115" t="s">
        <v>190</v>
      </c>
    </row>
    <row r="62" spans="1:22" ht="33.75" customHeight="1">
      <c r="A62" s="8">
        <v>54</v>
      </c>
      <c r="B62" s="16" t="s">
        <v>69</v>
      </c>
      <c r="C62" s="71" t="s">
        <v>34</v>
      </c>
      <c r="D62" s="66" t="s">
        <v>35</v>
      </c>
      <c r="F62" s="73">
        <f>'54'!E$30</f>
        <v>1.9256017505469528E-2</v>
      </c>
      <c r="G62" s="74">
        <f>'54'!E$29</f>
        <v>2.050796937190999E-2</v>
      </c>
      <c r="H62" s="74">
        <f>'54'!E$27</f>
        <v>2.9467335222729714E-2</v>
      </c>
      <c r="I62" s="115" t="str">
        <f>"pounds of TP reduced
per "&amp;'BMP info'!E61&amp;"
per year"</f>
        <v>pounds of TP reduced
per acre
per year</v>
      </c>
      <c r="J62" s="83"/>
      <c r="K62" s="103">
        <f>'54'!D$34</f>
        <v>743.45</v>
      </c>
      <c r="L62" s="115" t="str">
        <f>"per "&amp;'BMP info'!E61&amp;"
per year"</f>
        <v>per acre
per year</v>
      </c>
      <c r="M62" s="83"/>
      <c r="N62" s="62">
        <f t="shared" si="13"/>
        <v>2.5900891123101122E-2</v>
      </c>
      <c r="O62" s="63">
        <f t="shared" si="14"/>
        <v>2.7584867001022247E-2</v>
      </c>
      <c r="P62" s="63">
        <f t="shared" si="15"/>
        <v>3.9635934121635227E-2</v>
      </c>
      <c r="Q62" s="115" t="s">
        <v>137</v>
      </c>
      <c r="R62" s="83"/>
      <c r="S62" s="108">
        <f t="shared" si="16"/>
        <v>25229.631196055278</v>
      </c>
      <c r="T62" s="109">
        <f t="shared" si="17"/>
        <v>36251.760791993009</v>
      </c>
      <c r="U62" s="109">
        <f t="shared" si="18"/>
        <v>38608.710227274598</v>
      </c>
      <c r="V62" s="115" t="s">
        <v>190</v>
      </c>
    </row>
    <row r="63" spans="1:22" ht="33.75" customHeight="1">
      <c r="A63" s="8">
        <v>55</v>
      </c>
      <c r="B63" s="16" t="s">
        <v>69</v>
      </c>
      <c r="C63" s="71" t="s">
        <v>41</v>
      </c>
      <c r="D63" s="66" t="s">
        <v>42</v>
      </c>
      <c r="F63" s="73">
        <f>'55'!E$30</f>
        <v>3.516735627932778E-2</v>
      </c>
      <c r="G63" s="74">
        <f>'55'!E$29</f>
        <v>5.4639398664927376E-2</v>
      </c>
      <c r="H63" s="74">
        <f>'55'!E$27</f>
        <v>0.12686902012537116</v>
      </c>
      <c r="I63" s="115" t="str">
        <f>"pounds of TP reduced
per "&amp;'BMP info'!E62&amp;"
per year"</f>
        <v>pounds of TP reduced
per acre
per year</v>
      </c>
      <c r="J63" s="83"/>
      <c r="K63" s="103">
        <f>'55'!D$34</f>
        <v>147.5</v>
      </c>
      <c r="L63" s="115" t="str">
        <f>"per "&amp;'BMP info'!E62&amp;"
per year"</f>
        <v>per acre
per year</v>
      </c>
      <c r="M63" s="83"/>
      <c r="N63" s="62">
        <f t="shared" si="13"/>
        <v>0.23842275443612052</v>
      </c>
      <c r="O63" s="63">
        <f t="shared" si="14"/>
        <v>0.37043660111815169</v>
      </c>
      <c r="P63" s="63">
        <f t="shared" si="15"/>
        <v>0.86012895000251632</v>
      </c>
      <c r="Q63" s="115" t="s">
        <v>137</v>
      </c>
      <c r="R63" s="83"/>
      <c r="S63" s="108">
        <f t="shared" si="16"/>
        <v>1162.6163728090708</v>
      </c>
      <c r="T63" s="109">
        <f t="shared" si="17"/>
        <v>2699.5172641729519</v>
      </c>
      <c r="U63" s="109">
        <f t="shared" si="18"/>
        <v>4194.2305480239938</v>
      </c>
      <c r="V63" s="115" t="s">
        <v>190</v>
      </c>
    </row>
    <row r="64" spans="1:22" ht="33.75" customHeight="1">
      <c r="A64" s="8">
        <v>56</v>
      </c>
      <c r="B64" s="16" t="s">
        <v>69</v>
      </c>
      <c r="C64" s="71" t="s">
        <v>44</v>
      </c>
      <c r="D64" s="66" t="s">
        <v>45</v>
      </c>
      <c r="F64" s="73">
        <f>'56'!E$30</f>
        <v>7.8893758999999994E-2</v>
      </c>
      <c r="G64" s="74">
        <f>'56'!E$29</f>
        <v>0.30896785100000002</v>
      </c>
      <c r="H64" s="74">
        <f>'56'!E$27</f>
        <v>0.48417721499999999</v>
      </c>
      <c r="I64" s="115" t="str">
        <f>"pounds of TP reduced
per "&amp;'BMP info'!E63&amp;"
per year"</f>
        <v>pounds of TP reduced
per acre
per year</v>
      </c>
      <c r="J64" s="83"/>
      <c r="K64" s="104">
        <f>'56'!D$34</f>
        <v>2009.75</v>
      </c>
      <c r="L64" s="115" t="str">
        <f>"per "&amp;'BMP info'!E63&amp;"
per year"</f>
        <v>per acre
per year</v>
      </c>
      <c r="M64" s="83"/>
      <c r="N64" s="62">
        <f t="shared" si="13"/>
        <v>3.9255508894141054E-2</v>
      </c>
      <c r="O64" s="63">
        <f t="shared" si="14"/>
        <v>0.15373446995895013</v>
      </c>
      <c r="P64" s="63">
        <f t="shared" si="15"/>
        <v>0.24091415101380767</v>
      </c>
      <c r="Q64" s="115" t="s">
        <v>137</v>
      </c>
      <c r="R64" s="83"/>
      <c r="S64" s="108">
        <f t="shared" si="16"/>
        <v>4150.8562107781136</v>
      </c>
      <c r="T64" s="109">
        <f t="shared" si="17"/>
        <v>6504.7220722003203</v>
      </c>
      <c r="U64" s="109">
        <f t="shared" si="18"/>
        <v>25474.131610334349</v>
      </c>
      <c r="V64" s="115" t="s">
        <v>190</v>
      </c>
    </row>
    <row r="65" spans="1:22" ht="33.75" customHeight="1">
      <c r="A65" s="8">
        <v>57</v>
      </c>
      <c r="B65" s="16" t="s">
        <v>69</v>
      </c>
      <c r="C65" s="71" t="s">
        <v>67</v>
      </c>
      <c r="D65" s="66" t="s">
        <v>43</v>
      </c>
      <c r="F65" s="73">
        <f>'57'!E$30</f>
        <v>2.1394057602167026E-3</v>
      </c>
      <c r="G65" s="74">
        <f>'57'!E$29</f>
        <v>2.5000023214373558E-3</v>
      </c>
      <c r="H65" s="74">
        <f>'57'!E$27</f>
        <v>2.5007688068897642E-3</v>
      </c>
      <c r="I65" s="115" t="str">
        <f>"pounds of TP reduced
per "&amp;'BMP info'!E64&amp;"
per year"</f>
        <v>pounds of TP reduced
per foot
per year</v>
      </c>
      <c r="J65" s="83"/>
      <c r="K65" s="103">
        <f>'57'!D$34</f>
        <v>41.004999999999995</v>
      </c>
      <c r="L65" s="115" t="str">
        <f>"per "&amp;'BMP info'!E64&amp;"
per year"</f>
        <v>per foot
per year</v>
      </c>
      <c r="M65" s="83"/>
      <c r="N65" s="62">
        <f t="shared" si="13"/>
        <v>5.2174265582653402E-2</v>
      </c>
      <c r="O65" s="63">
        <f t="shared" si="14"/>
        <v>6.0968231226371322E-2</v>
      </c>
      <c r="P65" s="63">
        <f t="shared" si="15"/>
        <v>6.0986923713931579E-2</v>
      </c>
      <c r="Q65" s="115" t="s">
        <v>137</v>
      </c>
      <c r="R65" s="83"/>
      <c r="S65" s="108">
        <f t="shared" si="16"/>
        <v>16396.957562421932</v>
      </c>
      <c r="T65" s="109">
        <f t="shared" si="17"/>
        <v>16401.984769527939</v>
      </c>
      <c r="U65" s="109">
        <f t="shared" si="18"/>
        <v>19166.537158358664</v>
      </c>
      <c r="V65" s="115" t="s">
        <v>190</v>
      </c>
    </row>
    <row r="66" spans="1:22" ht="33.75" customHeight="1">
      <c r="A66" s="252">
        <v>58</v>
      </c>
      <c r="B66" s="16" t="s">
        <v>69</v>
      </c>
      <c r="C66" s="71" t="s">
        <v>288</v>
      </c>
      <c r="D66" s="253" t="s">
        <v>140</v>
      </c>
      <c r="F66" s="73">
        <f>'58'!E$30</f>
        <v>9.8928868000000003E-2</v>
      </c>
      <c r="G66" s="74">
        <f>'58'!E$29</f>
        <v>0.174062152</v>
      </c>
      <c r="H66" s="74">
        <f>'58'!E$27</f>
        <v>0.48723186899999998</v>
      </c>
      <c r="I66" s="115" t="str">
        <f>"pounds of TP reduced
per "&amp;'BMP info'!E65&amp;"
per year"</f>
        <v>pounds of TP reduced
per acre treated
per year</v>
      </c>
      <c r="J66" s="83"/>
      <c r="K66" s="103">
        <f>'58'!D$34</f>
        <v>499.05</v>
      </c>
      <c r="L66" s="115" t="str">
        <f>"per "&amp;'BMP info'!E65&amp;"
per year"</f>
        <v>per acre treated
per year</v>
      </c>
      <c r="M66" s="83"/>
      <c r="N66" s="62">
        <f t="shared" si="13"/>
        <v>0.1982343813245166</v>
      </c>
      <c r="O66" s="63">
        <f t="shared" si="14"/>
        <v>0.34878699929866747</v>
      </c>
      <c r="P66" s="63">
        <f t="shared" si="15"/>
        <v>0.9763187436128643</v>
      </c>
      <c r="Q66" s="115" t="s">
        <v>137</v>
      </c>
      <c r="R66" s="83"/>
      <c r="S66" s="108">
        <f t="shared" si="16"/>
        <v>1024.2556609120329</v>
      </c>
      <c r="T66" s="109">
        <f t="shared" si="17"/>
        <v>2867.0793407173319</v>
      </c>
      <c r="U66" s="109">
        <f t="shared" si="18"/>
        <v>5044.5336137880404</v>
      </c>
      <c r="V66" s="115" t="s">
        <v>190</v>
      </c>
    </row>
    <row r="67" spans="1:22" ht="33.75" customHeight="1" thickBot="1">
      <c r="A67" s="90">
        <v>59</v>
      </c>
      <c r="B67" s="91" t="s">
        <v>69</v>
      </c>
      <c r="C67" s="270" t="s">
        <v>289</v>
      </c>
      <c r="D67" s="159" t="s">
        <v>46</v>
      </c>
      <c r="F67" s="68">
        <f>'59'!E$30</f>
        <v>0.22991840399999999</v>
      </c>
      <c r="G67" s="61">
        <f>'59'!E$29</f>
        <v>0.31677018600000001</v>
      </c>
      <c r="H67" s="61">
        <f>'59'!E$27</f>
        <v>0.525018757</v>
      </c>
      <c r="I67" s="116" t="str">
        <f>"pounds of TP reduced
per "&amp;'BMP info'!E66&amp;"
per year"</f>
        <v>pounds of TP reduced
per acre treated
per year</v>
      </c>
      <c r="J67" s="83"/>
      <c r="K67" s="105">
        <f>'59'!D$34</f>
        <v>459</v>
      </c>
      <c r="L67" s="116" t="str">
        <f>"per "&amp;'BMP info'!E66&amp;"
per year"</f>
        <v>per acre treated
per year</v>
      </c>
      <c r="M67" s="83"/>
      <c r="N67" s="64">
        <f>IF($K67=0,"-",1000*F67/$K67)</f>
        <v>0.50091155555555555</v>
      </c>
      <c r="O67" s="65">
        <f>IF($K67=0,"-",1000*G67/$K67)</f>
        <v>0.69013112418300659</v>
      </c>
      <c r="P67" s="65">
        <f>IF($K67=0,"-",1000*H67/$K67)</f>
        <v>1.1438317145969501</v>
      </c>
      <c r="Q67" s="116" t="s">
        <v>137</v>
      </c>
      <c r="R67" s="83"/>
      <c r="S67" s="113">
        <f>IF($K67*H67=0,"-",$K67/H67)</f>
        <v>874.25447925472884</v>
      </c>
      <c r="T67" s="114">
        <f>IF($K67*G67=0,"-",$K67/G67)</f>
        <v>1449.0000015342353</v>
      </c>
      <c r="U67" s="114">
        <f>IF($K67*F67=0,"-",$K67/F67)</f>
        <v>1996.3604131490058</v>
      </c>
      <c r="V67" s="116" t="s">
        <v>190</v>
      </c>
    </row>
    <row r="68" spans="1:22" ht="13.5" thickTop="1"/>
    <row r="69" spans="1:22">
      <c r="A69" s="1" t="s">
        <v>297</v>
      </c>
    </row>
  </sheetData>
  <mergeCells count="5">
    <mergeCell ref="S1:V1"/>
    <mergeCell ref="N1:Q1"/>
    <mergeCell ref="A1:D1"/>
    <mergeCell ref="F1:I1"/>
    <mergeCell ref="K1:L1"/>
  </mergeCells>
  <phoneticPr fontId="1" type="noConversion"/>
  <hyperlinks>
    <hyperlink ref="C38" location="'36a'!A1" display="Septic Connection ― Critical Area"/>
    <hyperlink ref="C39" location="'36b'!A1" display="Septic Connection ― 1,000 feet of stream"/>
    <hyperlink ref="C40" location="'36c'!A1" display="Septic Connection ― other"/>
    <hyperlink ref="C25" location="'23'!A1" display="Nutrient Management"/>
    <hyperlink ref="C15" location="'13'!A1" display="Enhanced Nutrient Management"/>
    <hyperlink ref="C13" location="'11'!A1" display="Decision Agriculture"/>
    <hyperlink ref="C41" location="'37a'!A1" display="Septic Denitrification ― Critical Area"/>
    <hyperlink ref="C42" location="'37b'!A1" display="Septic Denitrification ― 1,000 feet of stream"/>
    <hyperlink ref="C43" location="'37c'!A1" display="Septic Denitrification ― other"/>
    <hyperlink ref="C44" location="'38a'!A1" display="Septic Pumping ― Critical Area"/>
    <hyperlink ref="C45" location="'38b'!A1" display="Septic Pumping ― 1,000 feet of stream"/>
    <hyperlink ref="C46" location="'38c'!A1" display="Septic Pumping ― other"/>
    <hyperlink ref="C5" location="'3'!A1" display="Barnyard Runoff Control"/>
    <hyperlink ref="C6" location="'4'!A1" display="Irrigation Water Capture Reuse"/>
    <hyperlink ref="C7" location="'5'!A1" display="Alternative Crops"/>
    <hyperlink ref="C11" location="'9'!A1" display="Cover Crop Standard Drilled Wheat"/>
    <hyperlink ref="C8" location="'6'!A1" display="Heavy Use Poultry Area Concrete Pads"/>
    <hyperlink ref="C9" location="'7'!A1" display="Soil Conservation and Water Quality Plans"/>
    <hyperlink ref="C3" location="'1'!A1" display="Poultry Litter Treatment (alum, for example)"/>
    <hyperlink ref="C4" location="'2'!A1" display="Animal Waste Management System"/>
    <hyperlink ref="C12" location="'10'!A1" display="Cropland Irrigation Management"/>
    <hyperlink ref="C14" location="'12'!A1" display="Sorbing Materials in Ag Ditches"/>
    <hyperlink ref="C16" location="'14'!A1" display="Forest Buffers"/>
    <hyperlink ref="C17" location="'15'!A1" display="Grass Buffers; Vegetated Open Channel - Agriculture"/>
    <hyperlink ref="C18" location="'16'!A1" display="Horse Pasture Management"/>
    <hyperlink ref="C19" location="'17'!A1" display="Land Retirement to hay without nutrients (HEL)"/>
    <hyperlink ref="C20" location="'18'!A1" display="Land Retirement to pasture (HEL)"/>
    <hyperlink ref="C21" location="'19'!A1" display="Dairy Manure Injection"/>
    <hyperlink ref="C22" location="'20'!A1" display="Loafing Lot Management"/>
    <hyperlink ref="C23" location="'21'!A1" display="Mortality Composters"/>
    <hyperlink ref="C24" location="'22'!A1" display="Non Urban Stream Restoration; Shoreline Erosion Control"/>
    <hyperlink ref="C26" location="'24'!A1" display="Off Stream Watering Without Fencing"/>
    <hyperlink ref="C27" location="'25'!A1" display="Stream Access Control with Fencing"/>
    <hyperlink ref="C28" location="'26'!A1" display="Poultry Litter Injection"/>
    <hyperlink ref="C29" location="'27'!A1" display="Poultry Phytase "/>
    <hyperlink ref="C30" location="'28'!A1" display="Prescribed Grazing"/>
    <hyperlink ref="C32" location="'30'!A1" display="Precision Intensive Rotational Grazing"/>
    <hyperlink ref="C33" location="'31'!A1" display="Water Control Structures"/>
    <hyperlink ref="C34" location="'32'!A1" display="Wetland Restoration"/>
    <hyperlink ref="C31" location="'29'!A1" display="Tree Planting; Vegetative Environmental Buffers ― Poultry"/>
    <hyperlink ref="C10" location="'8'!A1" display="Conservation Tillage - Percent of Acres"/>
    <hyperlink ref="C36" location="'34'!A1" display="Forest Harvesting Practices"/>
    <hyperlink ref="C37" location="'35'!A1" display="Set Permitted Load"/>
    <hyperlink ref="C35" location="'33'!A1" display="Manure Transport"/>
    <hyperlink ref="C55" location="'47'!A1" display="Urban Forest Buffers"/>
    <hyperlink ref="C47" location="'39'!A1" display="Abandoned Mine Reclamation"/>
    <hyperlink ref="C51" location="'43'!A1" display="Erosion and Sediment Control"/>
    <hyperlink ref="C52" location="'44'!A1" display="Erosion and Sediment Control on Extractive, excess applied to all other pervious urban"/>
    <hyperlink ref="C56" location="'48'!A1" display="Forest Conservation"/>
    <hyperlink ref="C57" location="'49'!A1" display="Impervious Urban Surface Reduction"/>
    <hyperlink ref="C65" location="'57'!A1" display="Urban Stream Restoration; Shoreline Erosion Control; Regenerative Stormwater Conveyance"/>
    <hyperlink ref="C64" location="'56'!A1" display="Urban Tree Planting; Urban Tree Canopy"/>
    <hyperlink ref="C63" location="'55'!A1" display="Urban Nutrient Management"/>
    <hyperlink ref="C48" location="'40'!A1" display="Bioretention/raingardens"/>
    <hyperlink ref="C49" location="'41'!A1" display="Bioswale"/>
    <hyperlink ref="C50" location="'42'!A1" display="Dry Detention Ponds and Hydrodynamic Structures"/>
    <hyperlink ref="C53" location="'45'!A1" display="Dry Extended Detention Ponds"/>
    <hyperlink ref="C54" location="'46'!A1" display="Urban Filtering Practices"/>
    <hyperlink ref="C58" location="'50'!A1" display="Urban Infiltration Practices - no sand\veg no under drain"/>
    <hyperlink ref="C59" location="'51'!A1" display="Urban Infiltration Practices - with sandveg no under drain"/>
    <hyperlink ref="C60" location="'52'!A1" display="Permeable Pavement w/ Sand, Veg. - A/B soils, underdrain"/>
    <hyperlink ref="C61" location="'53'!A1" display="MS4 Permit-Required Stormwater Retrofit"/>
    <hyperlink ref="C66" location="'58'!A1" display="Vegetated Open Channel - Urban"/>
    <hyperlink ref="C67" location="'59'!A1" display="Wet Ponds and Wetlands"/>
    <hyperlink ref="C62" location="'54'!A1" display="Street Sweeping 25 times a year-acres (formerly called Street Sweeping Mechanical Monthly)"/>
  </hyperlinks>
  <pageMargins left="0.75" right="0.75" top="1" bottom="1" header="0.5" footer="0.5"/>
  <pageSetup paperSize="5" scale="29" orientation="landscape" r:id="rId1"/>
  <headerFooter alignWithMargins="0"/>
</worksheet>
</file>

<file path=xl/worksheets/sheet60.xml><?xml version="1.0" encoding="utf-8"?>
<worksheet xmlns="http://schemas.openxmlformats.org/spreadsheetml/2006/main" xmlns:r="http://schemas.openxmlformats.org/officeDocument/2006/relationships">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1" style="17" bestFit="1" customWidth="1"/>
    <col min="13" max="16384" width="9.140625" style="17"/>
  </cols>
  <sheetData>
    <row r="1" spans="1:19" s="20" customFormat="1" ht="21" customHeight="1">
      <c r="A1" s="302" t="s">
        <v>136</v>
      </c>
      <c r="B1" s="303"/>
      <c r="D1" s="25" t="s">
        <v>134</v>
      </c>
      <c r="E1" s="89" t="str">
        <f>VLOOKUP($K$1,'BMP info'!A:G,3,FALSE)</f>
        <v>Dry Extended Detention Ponds</v>
      </c>
      <c r="I1" s="22"/>
      <c r="J1" s="37" t="s">
        <v>135</v>
      </c>
      <c r="K1" s="50">
        <v>45</v>
      </c>
      <c r="L1" s="22"/>
      <c r="M1" s="22"/>
      <c r="N1" s="22"/>
      <c r="O1" s="22"/>
      <c r="P1" s="22"/>
      <c r="Q1" s="22"/>
      <c r="R1" s="22"/>
    </row>
    <row r="2" spans="1:19" s="20" customFormat="1" ht="12.75" customHeight="1">
      <c r="D2" s="48" t="s">
        <v>3</v>
      </c>
      <c r="E2" s="19" t="str">
        <f>VLOOKUP($K$1,'BMP info'!A:G,4,FALSE)</f>
        <v>ExtDryPonds</v>
      </c>
      <c r="I2" s="23"/>
      <c r="L2" s="23"/>
      <c r="M2" s="23"/>
      <c r="N2" s="23"/>
      <c r="O2" s="23"/>
      <c r="P2" s="23"/>
      <c r="Q2" s="23"/>
      <c r="R2" s="23"/>
      <c r="S2" s="23"/>
    </row>
    <row r="3" spans="1:19" s="20" customFormat="1" ht="12.75" customHeight="1">
      <c r="D3" s="48" t="s">
        <v>79</v>
      </c>
      <c r="E3" s="19" t="str">
        <f>VLOOKUP($K$1,'BMP info'!A:G,5,FALSE)</f>
        <v>acre treated</v>
      </c>
      <c r="I3" s="23"/>
      <c r="K3" s="49"/>
      <c r="L3" s="23"/>
      <c r="M3" s="23"/>
      <c r="N3" s="23"/>
      <c r="O3" s="23"/>
      <c r="P3" s="23"/>
      <c r="Q3" s="23"/>
      <c r="R3" s="23"/>
      <c r="S3" s="23"/>
    </row>
    <row r="4" spans="1:19" s="20" customFormat="1" ht="12.75" customHeight="1">
      <c r="D4" s="48" t="s">
        <v>170</v>
      </c>
      <c r="E4" s="19" t="str">
        <f>VLOOKUP($K$1,'BMP info'!A:G,6,FALSE)</f>
        <v>efficiency treated</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55" t="s">
        <v>130</v>
      </c>
      <c r="K11" s="43" t="s">
        <v>128</v>
      </c>
      <c r="L11" s="43" t="s">
        <v>129</v>
      </c>
      <c r="M11" s="55" t="s">
        <v>130</v>
      </c>
    </row>
    <row r="12" spans="1:19" ht="5.25" customHeight="1" thickBot="1">
      <c r="F12" s="54"/>
      <c r="M12" s="54"/>
    </row>
    <row r="13" spans="1:19" ht="12.75" customHeight="1">
      <c r="C13" s="24" t="s">
        <v>9</v>
      </c>
      <c r="D13" s="28">
        <f t="shared" ref="D13:F16" si="0">IF(D27*$D$34=0,"-",1000*D27/$D$34)</f>
        <v>6.7760887336315569</v>
      </c>
      <c r="E13" s="29">
        <f t="shared" si="0"/>
        <v>0.37664785522570149</v>
      </c>
      <c r="F13" s="51">
        <f t="shared" si="0"/>
        <v>753.29267799918671</v>
      </c>
      <c r="G13" s="305" t="s">
        <v>254</v>
      </c>
      <c r="H13" s="300"/>
      <c r="J13" s="24" t="s">
        <v>9</v>
      </c>
      <c r="K13" s="28">
        <f t="shared" ref="K13:M16" si="1">IF(K27*$D$34=0,"-",1000*K27/$D$34)</f>
        <v>4.0148823489223266</v>
      </c>
      <c r="L13" s="29">
        <f t="shared" si="1"/>
        <v>0.21018362098413992</v>
      </c>
      <c r="M13" s="51">
        <f t="shared" si="1"/>
        <v>637.35123578690525</v>
      </c>
      <c r="N13" s="305" t="s">
        <v>133</v>
      </c>
      <c r="O13" s="300"/>
    </row>
    <row r="14" spans="1:19">
      <c r="C14" s="24" t="s">
        <v>7</v>
      </c>
      <c r="D14" s="31">
        <f t="shared" si="0"/>
        <v>4.3179815746238308</v>
      </c>
      <c r="E14" s="32">
        <f t="shared" si="0"/>
        <v>0.23231931191541277</v>
      </c>
      <c r="F14" s="52">
        <f t="shared" si="0"/>
        <v>406.8423453436356</v>
      </c>
      <c r="G14" s="301"/>
      <c r="H14" s="300"/>
      <c r="J14" s="24" t="s">
        <v>7</v>
      </c>
      <c r="K14" s="31">
        <f t="shared" si="1"/>
        <v>2.4553415469703133</v>
      </c>
      <c r="L14" s="32">
        <f t="shared" si="1"/>
        <v>0.14115619682797886</v>
      </c>
      <c r="M14" s="52">
        <f t="shared" si="1"/>
        <v>326.86698706791378</v>
      </c>
      <c r="N14" s="301"/>
      <c r="O14" s="300"/>
    </row>
    <row r="15" spans="1:19">
      <c r="C15" s="24" t="s">
        <v>8</v>
      </c>
      <c r="D15" s="31">
        <f t="shared" si="0"/>
        <v>3.9935432940219604</v>
      </c>
      <c r="E15" s="32">
        <f t="shared" si="0"/>
        <v>0.19807036030906874</v>
      </c>
      <c r="F15" s="52">
        <f t="shared" si="0"/>
        <v>409.09825180967874</v>
      </c>
      <c r="G15" s="301"/>
      <c r="H15" s="300"/>
      <c r="J15" s="24" t="s">
        <v>8</v>
      </c>
      <c r="K15" s="31">
        <f t="shared" si="1"/>
        <v>2.4374233737291582</v>
      </c>
      <c r="L15" s="32">
        <f t="shared" si="1"/>
        <v>0.15329423017486785</v>
      </c>
      <c r="M15" s="52">
        <f t="shared" si="1"/>
        <v>326.49916811712075</v>
      </c>
      <c r="N15" s="301"/>
      <c r="O15" s="300"/>
    </row>
    <row r="16" spans="1:19" ht="13.5" thickBot="1">
      <c r="C16" s="24" t="s">
        <v>6</v>
      </c>
      <c r="D16" s="34">
        <f t="shared" si="0"/>
        <v>2.0135578186254572</v>
      </c>
      <c r="E16" s="35">
        <f t="shared" si="0"/>
        <v>0.15731536559577064</v>
      </c>
      <c r="F16" s="53">
        <f t="shared" si="0"/>
        <v>31.090529857665718</v>
      </c>
      <c r="G16" s="301"/>
      <c r="H16" s="300"/>
      <c r="J16" s="24" t="s">
        <v>6</v>
      </c>
      <c r="K16" s="34">
        <f t="shared" si="1"/>
        <v>0.80574860349735666</v>
      </c>
      <c r="L16" s="35">
        <f t="shared" si="1"/>
        <v>5.3277938999593329E-2</v>
      </c>
      <c r="M16" s="53">
        <f t="shared" si="1"/>
        <v>14.596730241561612</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147.57776046183253</v>
      </c>
      <c r="E20" s="29">
        <f t="shared" si="2"/>
        <v>2654.9998523176578</v>
      </c>
      <c r="F20" s="51">
        <f t="shared" si="2"/>
        <v>1.327505270137618</v>
      </c>
      <c r="G20" s="305" t="s">
        <v>253</v>
      </c>
      <c r="H20" s="300"/>
      <c r="J20" s="24" t="s">
        <v>9</v>
      </c>
      <c r="K20" s="28">
        <f t="shared" ref="K20:M23" si="3">IF(K27=0,"-",$D$34/K27)</f>
        <v>249.07330105661001</v>
      </c>
      <c r="L20" s="29">
        <f t="shared" si="3"/>
        <v>4757.7446583026476</v>
      </c>
      <c r="M20" s="51">
        <f t="shared" si="3"/>
        <v>1.5689935844642253</v>
      </c>
      <c r="N20" s="305" t="s">
        <v>132</v>
      </c>
      <c r="O20" s="300"/>
    </row>
    <row r="21" spans="1:16">
      <c r="C21" s="24" t="s">
        <v>7</v>
      </c>
      <c r="D21" s="31">
        <f t="shared" si="2"/>
        <v>231.58968668992455</v>
      </c>
      <c r="E21" s="32">
        <f t="shared" si="2"/>
        <v>4304.4204623165333</v>
      </c>
      <c r="F21" s="52">
        <f t="shared" si="2"/>
        <v>2.4579545650671131</v>
      </c>
      <c r="G21" s="301"/>
      <c r="H21" s="300"/>
      <c r="J21" s="24" t="s">
        <v>7</v>
      </c>
      <c r="K21" s="31">
        <f t="shared" si="3"/>
        <v>407.27531419566321</v>
      </c>
      <c r="L21" s="32">
        <f t="shared" si="3"/>
        <v>7084.3506871941163</v>
      </c>
      <c r="M21" s="52">
        <f t="shared" si="3"/>
        <v>3.0593484186649542</v>
      </c>
      <c r="N21" s="301"/>
      <c r="O21" s="300"/>
    </row>
    <row r="22" spans="1:16">
      <c r="C22" s="24" t="s">
        <v>8</v>
      </c>
      <c r="D22" s="31">
        <f t="shared" si="2"/>
        <v>250.40419656822706</v>
      </c>
      <c r="E22" s="32">
        <f t="shared" si="2"/>
        <v>5048.7109653337393</v>
      </c>
      <c r="F22" s="52">
        <f t="shared" si="2"/>
        <v>2.4444005702210174</v>
      </c>
      <c r="G22" s="301"/>
      <c r="H22" s="300"/>
      <c r="J22" s="24" t="s">
        <v>8</v>
      </c>
      <c r="K22" s="31">
        <f t="shared" si="3"/>
        <v>410.26930765418933</v>
      </c>
      <c r="L22" s="32">
        <f t="shared" si="3"/>
        <v>6523.4027325051093</v>
      </c>
      <c r="M22" s="52">
        <f t="shared" si="3"/>
        <v>3.0627949399285548</v>
      </c>
      <c r="N22" s="301"/>
      <c r="O22" s="300"/>
    </row>
    <row r="23" spans="1:16" ht="13.5" thickBot="1">
      <c r="C23" s="24" t="s">
        <v>6</v>
      </c>
      <c r="D23" s="34">
        <f t="shared" si="2"/>
        <v>496.63336744044614</v>
      </c>
      <c r="E23" s="35">
        <f t="shared" si="2"/>
        <v>6356.6581446948285</v>
      </c>
      <c r="F23" s="53">
        <f t="shared" si="2"/>
        <v>32.164135014039935</v>
      </c>
      <c r="G23" s="301"/>
      <c r="H23" s="300"/>
      <c r="J23" s="24" t="s">
        <v>6</v>
      </c>
      <c r="K23" s="34">
        <f t="shared" si="3"/>
        <v>1241.0818903805653</v>
      </c>
      <c r="L23" s="35">
        <f t="shared" si="3"/>
        <v>18769.494818627143</v>
      </c>
      <c r="M23" s="53">
        <f t="shared" si="3"/>
        <v>68.508493577053073</v>
      </c>
      <c r="N23" s="301"/>
      <c r="O23" s="300"/>
    </row>
    <row r="24" spans="1:16" ht="13.5" thickBot="1">
      <c r="F24" s="54"/>
    </row>
    <row r="25" spans="1:16" s="42" customFormat="1">
      <c r="A25" s="86" t="s">
        <v>255</v>
      </c>
      <c r="D25" s="43" t="s">
        <v>128</v>
      </c>
      <c r="E25" s="43" t="s">
        <v>129</v>
      </c>
      <c r="F25" s="55" t="s">
        <v>130</v>
      </c>
      <c r="H25" s="86"/>
      <c r="K25" s="43" t="s">
        <v>128</v>
      </c>
      <c r="L25" s="43" t="s">
        <v>129</v>
      </c>
      <c r="M25" s="55" t="s">
        <v>130</v>
      </c>
    </row>
    <row r="26" spans="1:16" ht="5.25" customHeight="1" thickBot="1">
      <c r="F26" s="54"/>
      <c r="M26" s="54"/>
    </row>
    <row r="27" spans="1:16" ht="12.75" customHeight="1">
      <c r="C27" s="24" t="s">
        <v>9</v>
      </c>
      <c r="D27" s="208">
        <v>4.1656005489999997</v>
      </c>
      <c r="E27" s="209">
        <v>0.231544269</v>
      </c>
      <c r="F27" s="210">
        <v>463.08667380000003</v>
      </c>
      <c r="G27" s="305" t="str">
        <f>"EOS pounds removed per '"&amp;E3&amp;"' of practice per year"</f>
        <v>EOS pounds removed per 'acre treated' of practice per year</v>
      </c>
      <c r="H27" s="300"/>
      <c r="J27" s="24" t="s">
        <v>9</v>
      </c>
      <c r="K27" s="56">
        <v>2.4681489239999999</v>
      </c>
      <c r="L27" s="209">
        <v>0.12921038100000001</v>
      </c>
      <c r="M27" s="210">
        <v>391.81167219999998</v>
      </c>
      <c r="N27" s="299" t="str">
        <f>"delivered pounds removed per '"&amp;E3&amp;"' of practice per year"</f>
        <v>delivered pounds removed per 'acre treated' of practice per year</v>
      </c>
      <c r="O27" s="300"/>
      <c r="P27" s="204"/>
    </row>
    <row r="28" spans="1:16">
      <c r="C28" s="24" t="s">
        <v>7</v>
      </c>
      <c r="D28" s="211">
        <v>2.6544791729999999</v>
      </c>
      <c r="E28" s="212">
        <v>0.14281829700000001</v>
      </c>
      <c r="F28" s="213">
        <v>250.10633179999999</v>
      </c>
      <c r="G28" s="301"/>
      <c r="H28" s="300"/>
      <c r="J28" s="24" t="s">
        <v>7</v>
      </c>
      <c r="K28" s="57">
        <v>1.509421216</v>
      </c>
      <c r="L28" s="212">
        <v>8.6775772000000001E-2</v>
      </c>
      <c r="M28" s="213">
        <v>200.94148029999999</v>
      </c>
      <c r="N28" s="301"/>
      <c r="O28" s="300"/>
      <c r="P28" s="204"/>
    </row>
    <row r="29" spans="1:16">
      <c r="C29" s="24" t="s">
        <v>8</v>
      </c>
      <c r="D29" s="211">
        <v>2.4550307400000002</v>
      </c>
      <c r="E29" s="212">
        <v>0.121763754</v>
      </c>
      <c r="F29" s="213">
        <v>251.4931503</v>
      </c>
      <c r="G29" s="301"/>
      <c r="H29" s="300"/>
      <c r="J29" s="24" t="s">
        <v>8</v>
      </c>
      <c r="K29" s="57">
        <v>1.4984060189999999</v>
      </c>
      <c r="L29" s="212">
        <v>9.4237628000000004E-2</v>
      </c>
      <c r="M29" s="213">
        <v>200.71536359999999</v>
      </c>
      <c r="N29" s="301"/>
      <c r="O29" s="300"/>
      <c r="P29" s="204"/>
    </row>
    <row r="30" spans="1:16" ht="13.5" thickBot="1">
      <c r="C30" s="24" t="s">
        <v>6</v>
      </c>
      <c r="D30" s="214">
        <v>1.2378346689999999</v>
      </c>
      <c r="E30" s="215">
        <v>9.6709620999999996E-2</v>
      </c>
      <c r="F30" s="216">
        <v>19.112903230000001</v>
      </c>
      <c r="G30" s="301"/>
      <c r="H30" s="300"/>
      <c r="J30" s="24" t="s">
        <v>6</v>
      </c>
      <c r="K30" s="58">
        <v>0.49533395400000002</v>
      </c>
      <c r="L30" s="215">
        <v>3.2752613E-2</v>
      </c>
      <c r="M30" s="216">
        <v>8.9733399160000005</v>
      </c>
      <c r="N30" s="301"/>
      <c r="O30" s="300"/>
      <c r="P30" s="204"/>
    </row>
    <row r="31" spans="1:16" ht="13.5" thickBot="1"/>
    <row r="32" spans="1:16" s="42" customFormat="1">
      <c r="A32" s="86" t="s">
        <v>1</v>
      </c>
    </row>
    <row r="33" spans="1:12" ht="5.25" customHeight="1" thickBot="1"/>
    <row r="34" spans="1:12" ht="13.5" thickBot="1">
      <c r="C34" s="24" t="s">
        <v>11</v>
      </c>
      <c r="D34" s="46">
        <f>-PMT(D39,D38,D36)+D37</f>
        <v>614.75</v>
      </c>
      <c r="E34" s="18" t="str">
        <f>"$ per '"&amp;E3&amp;"' of practice per year"</f>
        <v>$ per 'acre treated' of practice per year</v>
      </c>
      <c r="I34" s="82" t="s">
        <v>169</v>
      </c>
      <c r="J34" s="217" t="s">
        <v>160</v>
      </c>
      <c r="K34" s="218" t="s">
        <v>233</v>
      </c>
      <c r="L34" s="219" t="s">
        <v>165</v>
      </c>
    </row>
    <row r="35" spans="1:12" ht="5.25" customHeight="1" thickBot="1">
      <c r="C35" s="24"/>
      <c r="D35" s="47"/>
      <c r="E35" s="18"/>
      <c r="I35" s="78"/>
      <c r="J35" s="220"/>
      <c r="K35" s="220"/>
      <c r="L35" s="221"/>
    </row>
    <row r="36" spans="1:12">
      <c r="C36" s="24" t="s">
        <v>10</v>
      </c>
      <c r="D36" s="38">
        <f>L36</f>
        <v>7545</v>
      </c>
      <c r="E36" s="18" t="str">
        <f>"$ per '"&amp;E3&amp;"' of practice"</f>
        <v>$ per 'acre treated' of practice</v>
      </c>
      <c r="I36" s="78" t="s">
        <v>162</v>
      </c>
      <c r="J36" s="236">
        <v>4090</v>
      </c>
      <c r="K36" s="236">
        <v>11000</v>
      </c>
      <c r="L36" s="241">
        <f>AVERAGE(J36:K36)</f>
        <v>7545</v>
      </c>
    </row>
    <row r="37" spans="1:12">
      <c r="C37" s="24" t="s">
        <v>12</v>
      </c>
      <c r="D37" s="39">
        <f>L37</f>
        <v>237.5</v>
      </c>
      <c r="E37" s="18" t="str">
        <f>"$ per '"&amp;E3&amp;"' of practice per year"</f>
        <v>$ per 'acre treated' of practice per year</v>
      </c>
      <c r="I37" s="78" t="s">
        <v>161</v>
      </c>
      <c r="J37" s="236">
        <v>167</v>
      </c>
      <c r="K37" s="236">
        <v>308</v>
      </c>
      <c r="L37" s="241">
        <f>AVERAGE(J37:K37)</f>
        <v>237.5</v>
      </c>
    </row>
    <row r="38" spans="1:12">
      <c r="C38" s="24" t="s">
        <v>13</v>
      </c>
      <c r="D38" s="40">
        <f>L38</f>
        <v>20</v>
      </c>
      <c r="E38" s="18" t="s">
        <v>15</v>
      </c>
      <c r="I38" s="78" t="s">
        <v>163</v>
      </c>
      <c r="J38" s="245">
        <v>20</v>
      </c>
      <c r="K38" s="245">
        <v>20</v>
      </c>
      <c r="L38" s="247">
        <v>20</v>
      </c>
    </row>
    <row r="39" spans="1:12" ht="13.5" thickBot="1">
      <c r="C39" s="24" t="s">
        <v>14</v>
      </c>
      <c r="D39" s="41">
        <f>Summary!C35</f>
        <v>0</v>
      </c>
      <c r="E39" s="18" t="s">
        <v>16</v>
      </c>
      <c r="I39" s="80" t="s">
        <v>166</v>
      </c>
      <c r="J39" s="239">
        <f>J37+(J36/J38)</f>
        <v>371.5</v>
      </c>
      <c r="K39" s="239">
        <f>K37+(K36/K38)</f>
        <v>858</v>
      </c>
      <c r="L39" s="242">
        <f>L37+(L36/L38)</f>
        <v>614.75</v>
      </c>
    </row>
    <row r="40" spans="1:12">
      <c r="F40" s="234"/>
    </row>
    <row r="41" spans="1:12" ht="12.75" customHeight="1">
      <c r="I41" s="304" t="s">
        <v>279</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61.xml><?xml version="1.0" encoding="utf-8"?>
<worksheet xmlns="http://schemas.openxmlformats.org/spreadsheetml/2006/main" xmlns:r="http://schemas.openxmlformats.org/officeDocument/2006/relationships">
  <dimension ref="A1:S48"/>
  <sheetViews>
    <sheetView workbookViewId="0">
      <pane ySplit="6" topLeftCell="A10"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1" style="17" bestFit="1" customWidth="1"/>
    <col min="13" max="16384" width="9.140625" style="17"/>
  </cols>
  <sheetData>
    <row r="1" spans="1:19" s="20" customFormat="1" ht="21" customHeight="1">
      <c r="A1" s="302" t="s">
        <v>136</v>
      </c>
      <c r="B1" s="303"/>
      <c r="D1" s="25" t="s">
        <v>134</v>
      </c>
      <c r="E1" s="89" t="str">
        <f>VLOOKUP($K$1,'BMP info'!A:G,3,FALSE)</f>
        <v>Urban Filtering Practices</v>
      </c>
      <c r="I1" s="22"/>
      <c r="J1" s="37" t="s">
        <v>135</v>
      </c>
      <c r="K1" s="50">
        <v>46</v>
      </c>
      <c r="L1" s="22"/>
      <c r="M1" s="22"/>
      <c r="N1" s="22"/>
      <c r="O1" s="22"/>
      <c r="P1" s="22"/>
      <c r="Q1" s="22"/>
      <c r="R1" s="22"/>
    </row>
    <row r="2" spans="1:19" s="20" customFormat="1" ht="12.75" customHeight="1">
      <c r="D2" s="48" t="s">
        <v>3</v>
      </c>
      <c r="E2" s="19" t="str">
        <f>VLOOKUP($K$1,'BMP info'!A:G,4,FALSE)</f>
        <v>Filter</v>
      </c>
      <c r="I2" s="23"/>
      <c r="L2" s="23"/>
      <c r="M2" s="23"/>
      <c r="N2" s="23"/>
      <c r="O2" s="23"/>
      <c r="P2" s="23"/>
      <c r="Q2" s="23"/>
      <c r="R2" s="23"/>
      <c r="S2" s="23"/>
    </row>
    <row r="3" spans="1:19" s="20" customFormat="1" ht="12.75" customHeight="1">
      <c r="D3" s="48" t="s">
        <v>79</v>
      </c>
      <c r="E3" s="19" t="str">
        <f>VLOOKUP($K$1,'BMP info'!A:G,5,FALSE)</f>
        <v>acre treated</v>
      </c>
      <c r="I3" s="23"/>
      <c r="K3" s="49"/>
      <c r="L3" s="23"/>
      <c r="M3" s="23"/>
      <c r="N3" s="23"/>
      <c r="O3" s="23"/>
      <c r="P3" s="23"/>
      <c r="Q3" s="23"/>
      <c r="R3" s="23"/>
      <c r="S3" s="23"/>
    </row>
    <row r="4" spans="1:19" s="20" customFormat="1" ht="12.75" customHeight="1">
      <c r="D4" s="48" t="s">
        <v>170</v>
      </c>
      <c r="E4" s="19" t="str">
        <f>VLOOKUP($K$1,'BMP info'!A:G,6,FALSE)</f>
        <v>efficiency treated</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43" t="s">
        <v>130</v>
      </c>
      <c r="K11" s="43" t="s">
        <v>128</v>
      </c>
      <c r="L11" s="43" t="s">
        <v>129</v>
      </c>
      <c r="M11" s="43" t="s">
        <v>130</v>
      </c>
    </row>
    <row r="12" spans="1:19" ht="5.25" customHeight="1" thickBot="1"/>
    <row r="13" spans="1:19" ht="12.75" customHeight="1">
      <c r="C13" s="24" t="s">
        <v>9</v>
      </c>
      <c r="D13" s="28">
        <f t="shared" ref="D13:F16" si="0">IF(D27*$D$34=0,"-",1000*D27/$D$34)</f>
        <v>5.129377294161805</v>
      </c>
      <c r="E13" s="29">
        <f t="shared" si="0"/>
        <v>0.40667944381888288</v>
      </c>
      <c r="F13" s="30">
        <f t="shared" si="0"/>
        <v>343.85136984338214</v>
      </c>
      <c r="G13" s="305" t="s">
        <v>254</v>
      </c>
      <c r="H13" s="300"/>
      <c r="J13" s="24" t="s">
        <v>9</v>
      </c>
      <c r="K13" s="28">
        <f t="shared" ref="K13:M16" si="1">IF(K27*$D$34=0,"-",1000*K27/$D$34)</f>
        <v>3.1183380550721673</v>
      </c>
      <c r="L13" s="29">
        <f t="shared" si="1"/>
        <v>0.3099499320981336</v>
      </c>
      <c r="M13" s="30">
        <f t="shared" si="1"/>
        <v>340.44398648786984</v>
      </c>
      <c r="N13" s="305" t="s">
        <v>133</v>
      </c>
      <c r="O13" s="300"/>
    </row>
    <row r="14" spans="1:19">
      <c r="C14" s="24" t="s">
        <v>7</v>
      </c>
      <c r="D14" s="31">
        <f t="shared" si="0"/>
        <v>2.7526330426178052</v>
      </c>
      <c r="E14" s="32">
        <f t="shared" si="0"/>
        <v>0.24428931245095031</v>
      </c>
      <c r="F14" s="33">
        <f t="shared" si="0"/>
        <v>147.94289760125568</v>
      </c>
      <c r="G14" s="301"/>
      <c r="H14" s="300"/>
      <c r="J14" s="24" t="s">
        <v>7</v>
      </c>
      <c r="K14" s="31">
        <f t="shared" si="1"/>
        <v>1.9554537932917051</v>
      </c>
      <c r="L14" s="32">
        <f t="shared" si="1"/>
        <v>0.18611764766096836</v>
      </c>
      <c r="M14" s="33">
        <f t="shared" si="1"/>
        <v>139.74182325041801</v>
      </c>
      <c r="N14" s="301"/>
      <c r="O14" s="300"/>
    </row>
    <row r="15" spans="1:19">
      <c r="C15" s="24" t="s">
        <v>8</v>
      </c>
      <c r="D15" s="31">
        <f t="shared" si="0"/>
        <v>2.3151238236598766</v>
      </c>
      <c r="E15" s="32">
        <f t="shared" si="0"/>
        <v>0.21028133483468112</v>
      </c>
      <c r="F15" s="33">
        <f t="shared" si="0"/>
        <v>79.683756986385518</v>
      </c>
      <c r="G15" s="301"/>
      <c r="H15" s="300"/>
      <c r="J15" s="24" t="s">
        <v>8</v>
      </c>
      <c r="K15" s="31">
        <f t="shared" si="1"/>
        <v>1.9674265417818271</v>
      </c>
      <c r="L15" s="32">
        <f t="shared" si="1"/>
        <v>0.16780356638345789</v>
      </c>
      <c r="M15" s="33">
        <f t="shared" si="1"/>
        <v>87.496046882997248</v>
      </c>
      <c r="N15" s="301"/>
      <c r="O15" s="300"/>
    </row>
    <row r="16" spans="1:19" ht="13.5" thickBot="1">
      <c r="C16" s="24" t="s">
        <v>6</v>
      </c>
      <c r="D16" s="34">
        <f t="shared" si="0"/>
        <v>1.3792733415225031</v>
      </c>
      <c r="E16" s="35">
        <f t="shared" si="0"/>
        <v>0.15061487562698334</v>
      </c>
      <c r="F16" s="36">
        <f t="shared" si="0"/>
        <v>15.284758897191798</v>
      </c>
      <c r="G16" s="301"/>
      <c r="H16" s="300"/>
      <c r="J16" s="24" t="s">
        <v>6</v>
      </c>
      <c r="K16" s="34">
        <f t="shared" si="1"/>
        <v>0.99291612515781225</v>
      </c>
      <c r="L16" s="35">
        <f t="shared" si="1"/>
        <v>0.10229896543487906</v>
      </c>
      <c r="M16" s="36">
        <f t="shared" si="1"/>
        <v>15.284758897191798</v>
      </c>
      <c r="N16" s="301"/>
      <c r="O16" s="300"/>
    </row>
    <row r="17" spans="1:15" ht="5.25" customHeight="1" thickBot="1"/>
    <row r="18" spans="1:15" s="42" customFormat="1">
      <c r="A18" s="86" t="s">
        <v>252</v>
      </c>
      <c r="D18" s="43" t="s">
        <v>128</v>
      </c>
      <c r="E18" s="43" t="s">
        <v>129</v>
      </c>
      <c r="F18" s="43" t="s">
        <v>130</v>
      </c>
      <c r="K18" s="43" t="s">
        <v>128</v>
      </c>
      <c r="L18" s="43" t="s">
        <v>129</v>
      </c>
      <c r="M18" s="43" t="s">
        <v>130</v>
      </c>
    </row>
    <row r="19" spans="1:15" ht="5.25" customHeight="1" thickBot="1"/>
    <row r="20" spans="1:15" ht="12.75" customHeight="1">
      <c r="C20" s="24" t="s">
        <v>9</v>
      </c>
      <c r="D20" s="28">
        <f t="shared" ref="D20:F23" si="2">IF(D27=0,"-",$D$34/D27)</f>
        <v>194.95543857500752</v>
      </c>
      <c r="E20" s="29">
        <f t="shared" si="2"/>
        <v>2458.9391354763334</v>
      </c>
      <c r="F20" s="30">
        <f t="shared" si="2"/>
        <v>2.9082332882823216</v>
      </c>
      <c r="G20" s="305" t="s">
        <v>253</v>
      </c>
      <c r="H20" s="300"/>
      <c r="J20" s="24" t="s">
        <v>9</v>
      </c>
      <c r="K20" s="28">
        <f t="shared" ref="K20:M23" si="3">IF(K27=0,"-",$D$34/K27)</f>
        <v>320.68364056085545</v>
      </c>
      <c r="L20" s="29">
        <f t="shared" si="3"/>
        <v>3226.3275337107962</v>
      </c>
      <c r="M20" s="30">
        <f t="shared" si="3"/>
        <v>2.9373407658520367</v>
      </c>
      <c r="N20" s="305" t="s">
        <v>132</v>
      </c>
      <c r="O20" s="300"/>
    </row>
    <row r="21" spans="1:15">
      <c r="C21" s="24" t="s">
        <v>7</v>
      </c>
      <c r="D21" s="31">
        <f t="shared" si="2"/>
        <v>363.28852575604537</v>
      </c>
      <c r="E21" s="32">
        <f t="shared" si="2"/>
        <v>4093.5069568415329</v>
      </c>
      <c r="F21" s="33">
        <f t="shared" si="2"/>
        <v>6.7593647022870824</v>
      </c>
      <c r="G21" s="301"/>
      <c r="H21" s="300"/>
      <c r="J21" s="24" t="s">
        <v>7</v>
      </c>
      <c r="K21" s="31">
        <f t="shared" si="3"/>
        <v>511.3902478445446</v>
      </c>
      <c r="L21" s="32">
        <f t="shared" si="3"/>
        <v>5372.945621049319</v>
      </c>
      <c r="M21" s="33">
        <f t="shared" si="3"/>
        <v>7.1560537621438876</v>
      </c>
      <c r="N21" s="301"/>
      <c r="O21" s="300"/>
    </row>
    <row r="22" spans="1:15">
      <c r="C22" s="24" t="s">
        <v>8</v>
      </c>
      <c r="D22" s="31">
        <f t="shared" si="2"/>
        <v>431.94233923054031</v>
      </c>
      <c r="E22" s="32">
        <f t="shared" si="2"/>
        <v>4755.5338222775663</v>
      </c>
      <c r="F22" s="33">
        <f t="shared" si="2"/>
        <v>12.549609077429125</v>
      </c>
      <c r="G22" s="301"/>
      <c r="H22" s="300"/>
      <c r="J22" s="24" t="s">
        <v>8</v>
      </c>
      <c r="K22" s="31">
        <f t="shared" si="3"/>
        <v>508.27818917921894</v>
      </c>
      <c r="L22" s="32">
        <f t="shared" si="3"/>
        <v>5959.3489074888948</v>
      </c>
      <c r="M22" s="33">
        <f t="shared" si="3"/>
        <v>11.429087777385357</v>
      </c>
      <c r="N22" s="301"/>
      <c r="O22" s="300"/>
    </row>
    <row r="23" spans="1:15" ht="13.5" thickBot="1">
      <c r="C23" s="24" t="s">
        <v>6</v>
      </c>
      <c r="D23" s="34">
        <f t="shared" si="2"/>
        <v>725.01945038403744</v>
      </c>
      <c r="E23" s="35">
        <f t="shared" si="2"/>
        <v>6639.4504250471628</v>
      </c>
      <c r="F23" s="36">
        <f t="shared" si="2"/>
        <v>65.424649922592209</v>
      </c>
      <c r="G23" s="301"/>
      <c r="H23" s="300"/>
      <c r="J23" s="24" t="s">
        <v>6</v>
      </c>
      <c r="K23" s="34">
        <f t="shared" si="3"/>
        <v>1007.134414139021</v>
      </c>
      <c r="L23" s="35">
        <f t="shared" si="3"/>
        <v>9775.2699232972682</v>
      </c>
      <c r="M23" s="36">
        <f t="shared" si="3"/>
        <v>65.424649922592209</v>
      </c>
      <c r="N23" s="301"/>
      <c r="O23" s="300"/>
    </row>
    <row r="24" spans="1:15" ht="13.5" thickBot="1"/>
    <row r="25" spans="1:15" s="42" customFormat="1">
      <c r="A25" s="86" t="s">
        <v>255</v>
      </c>
      <c r="D25" s="43" t="s">
        <v>128</v>
      </c>
      <c r="E25" s="43" t="s">
        <v>129</v>
      </c>
      <c r="F25" s="43" t="s">
        <v>130</v>
      </c>
      <c r="H25" s="86"/>
      <c r="K25" s="43" t="s">
        <v>128</v>
      </c>
      <c r="L25" s="43" t="s">
        <v>129</v>
      </c>
      <c r="M25" s="43" t="s">
        <v>130</v>
      </c>
    </row>
    <row r="26" spans="1:15" ht="5.25" customHeight="1" thickBot="1"/>
    <row r="27" spans="1:15" ht="12.75" customHeight="1">
      <c r="C27" s="24" t="s">
        <v>9</v>
      </c>
      <c r="D27" s="208">
        <v>7.5163330180000001</v>
      </c>
      <c r="E27" s="209">
        <v>0.59592772299999996</v>
      </c>
      <c r="F27" s="210">
        <v>503.86260479999999</v>
      </c>
      <c r="G27" s="305" t="str">
        <f>"EOS pounds removed per '"&amp;E3&amp;"' of practice per year"</f>
        <v>EOS pounds removed per 'acre treated' of practice per year</v>
      </c>
      <c r="H27" s="300"/>
      <c r="J27" s="24" t="s">
        <v>9</v>
      </c>
      <c r="K27" s="208">
        <v>4.569456669</v>
      </c>
      <c r="L27" s="209">
        <v>0.45418513300000002</v>
      </c>
      <c r="M27" s="210">
        <v>498.86959560000003</v>
      </c>
      <c r="N27" s="305" t="str">
        <f>"delivered pounds removed per '"&amp;E3&amp;"' of practice per year"</f>
        <v>delivered pounds removed per 'acre treated' of practice per year</v>
      </c>
      <c r="O27" s="307"/>
    </row>
    <row r="28" spans="1:15">
      <c r="C28" s="24" t="s">
        <v>7</v>
      </c>
      <c r="D28" s="211">
        <v>4.0335708290000003</v>
      </c>
      <c r="E28" s="212">
        <v>0.35796934400000002</v>
      </c>
      <c r="F28" s="213">
        <v>216.78812500000001</v>
      </c>
      <c r="G28" s="301"/>
      <c r="H28" s="300"/>
      <c r="J28" s="24" t="s">
        <v>7</v>
      </c>
      <c r="K28" s="211">
        <v>2.8654242160000001</v>
      </c>
      <c r="L28" s="212">
        <v>0.27272749499999999</v>
      </c>
      <c r="M28" s="213">
        <v>204.77068070000001</v>
      </c>
      <c r="N28" s="305"/>
      <c r="O28" s="307"/>
    </row>
    <row r="29" spans="1:15">
      <c r="C29" s="24" t="s">
        <v>8</v>
      </c>
      <c r="D29" s="211">
        <v>3.392466695</v>
      </c>
      <c r="E29" s="212">
        <v>0.30813575399999998</v>
      </c>
      <c r="F29" s="213">
        <v>116.7645933</v>
      </c>
      <c r="G29" s="301"/>
      <c r="H29" s="300"/>
      <c r="J29" s="24" t="s">
        <v>8</v>
      </c>
      <c r="K29" s="211">
        <v>2.882968483</v>
      </c>
      <c r="L29" s="212">
        <v>0.24589095599999999</v>
      </c>
      <c r="M29" s="213">
        <v>128.21233230000001</v>
      </c>
      <c r="N29" s="305"/>
      <c r="O29" s="307"/>
    </row>
    <row r="30" spans="1:15" ht="13.5" thickBot="1">
      <c r="C30" s="24" t="s">
        <v>6</v>
      </c>
      <c r="D30" s="214">
        <v>2.0211181909999998</v>
      </c>
      <c r="E30" s="215">
        <v>0.22070350799999999</v>
      </c>
      <c r="F30" s="216">
        <v>22.397521449999999</v>
      </c>
      <c r="G30" s="301"/>
      <c r="H30" s="300"/>
      <c r="J30" s="24" t="s">
        <v>6</v>
      </c>
      <c r="K30" s="214">
        <v>1.454969644</v>
      </c>
      <c r="L30" s="215">
        <v>0.14990378900000001</v>
      </c>
      <c r="M30" s="216">
        <v>22.397521449999999</v>
      </c>
      <c r="N30" s="305"/>
      <c r="O30" s="307"/>
    </row>
    <row r="31" spans="1:15" ht="13.5" thickBot="1"/>
    <row r="32" spans="1:15" s="42" customFormat="1">
      <c r="A32" s="86" t="s">
        <v>1</v>
      </c>
    </row>
    <row r="33" spans="1:12" ht="5.25" customHeight="1" thickBot="1"/>
    <row r="34" spans="1:12" ht="13.5" thickBot="1">
      <c r="C34" s="24" t="s">
        <v>11</v>
      </c>
      <c r="D34" s="46">
        <f>-PMT(D39,D38,D36)+D37</f>
        <v>1465.35</v>
      </c>
      <c r="E34" s="18" t="str">
        <f>"$ per '"&amp;E3&amp;"' of practice per year"</f>
        <v>$ per 'acre treated' of practice per year</v>
      </c>
      <c r="I34" s="82" t="s">
        <v>169</v>
      </c>
      <c r="J34" s="217" t="s">
        <v>160</v>
      </c>
      <c r="K34" s="218" t="s">
        <v>233</v>
      </c>
      <c r="L34" s="219" t="s">
        <v>165</v>
      </c>
    </row>
    <row r="35" spans="1:12" ht="5.25" customHeight="1" thickBot="1">
      <c r="C35" s="24"/>
      <c r="D35" s="47"/>
      <c r="E35" s="18"/>
      <c r="I35" s="78"/>
      <c r="J35" s="220"/>
      <c r="K35" s="220"/>
      <c r="L35" s="221"/>
    </row>
    <row r="36" spans="1:12">
      <c r="C36" s="24" t="s">
        <v>10</v>
      </c>
      <c r="D36" s="38">
        <f>L36</f>
        <v>17117</v>
      </c>
      <c r="E36" s="18" t="str">
        <f>"$ per '"&amp;E3&amp;"' of practice"</f>
        <v>$ per 'acre treated' of practice</v>
      </c>
      <c r="I36" s="78" t="s">
        <v>162</v>
      </c>
      <c r="J36" s="236">
        <v>20484</v>
      </c>
      <c r="K36" s="236">
        <v>13750</v>
      </c>
      <c r="L36" s="241">
        <f>AVERAGE(J36:K36)</f>
        <v>17117</v>
      </c>
    </row>
    <row r="37" spans="1:12">
      <c r="C37" s="24" t="s">
        <v>12</v>
      </c>
      <c r="D37" s="39">
        <f>L37</f>
        <v>609.5</v>
      </c>
      <c r="E37" s="18" t="str">
        <f>"$ per '"&amp;E3&amp;"' of practice per year"</f>
        <v>$ per 'acre treated' of practice per year</v>
      </c>
      <c r="I37" s="78" t="s">
        <v>161</v>
      </c>
      <c r="J37" s="236">
        <v>836</v>
      </c>
      <c r="K37" s="236">
        <v>383</v>
      </c>
      <c r="L37" s="241">
        <f>AVERAGE(J37:K37)</f>
        <v>609.5</v>
      </c>
    </row>
    <row r="38" spans="1:12">
      <c r="C38" s="24" t="s">
        <v>13</v>
      </c>
      <c r="D38" s="40">
        <f>K38</f>
        <v>20</v>
      </c>
      <c r="E38" s="18" t="s">
        <v>15</v>
      </c>
      <c r="I38" s="78" t="s">
        <v>163</v>
      </c>
      <c r="J38" s="245">
        <v>20</v>
      </c>
      <c r="K38" s="245">
        <v>20</v>
      </c>
      <c r="L38" s="247">
        <v>20</v>
      </c>
    </row>
    <row r="39" spans="1:12" ht="13.5" thickBot="1">
      <c r="C39" s="24" t="s">
        <v>14</v>
      </c>
      <c r="D39" s="41">
        <f>Summary!C35</f>
        <v>0</v>
      </c>
      <c r="E39" s="18" t="s">
        <v>16</v>
      </c>
      <c r="I39" s="80" t="s">
        <v>166</v>
      </c>
      <c r="J39" s="239">
        <f>J37+(J36/J38)</f>
        <v>1860.2</v>
      </c>
      <c r="K39" s="239">
        <f>K37+(K36/K38)</f>
        <v>1070.5</v>
      </c>
      <c r="L39" s="242">
        <f>L37+(L36/L38)</f>
        <v>1465.35</v>
      </c>
    </row>
    <row r="40" spans="1:12">
      <c r="F40" s="234"/>
    </row>
    <row r="41" spans="1:12" ht="12.75" customHeight="1">
      <c r="I41" s="304" t="s">
        <v>279</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A1:B1"/>
    <mergeCell ref="I41:L45"/>
    <mergeCell ref="G27:H30"/>
    <mergeCell ref="N27:O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62.xml><?xml version="1.0" encoding="utf-8"?>
<worksheet xmlns="http://schemas.openxmlformats.org/spreadsheetml/2006/main" xmlns:r="http://schemas.openxmlformats.org/officeDocument/2006/relationships">
  <sheetPr codeName="Sheet11"/>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1" width="11" style="17" bestFit="1" customWidth="1"/>
    <col min="12" max="12" width="10" style="17" bestFit="1" customWidth="1"/>
    <col min="13" max="16384" width="9.140625" style="17"/>
  </cols>
  <sheetData>
    <row r="1" spans="1:19" s="20" customFormat="1" ht="21" customHeight="1">
      <c r="A1" s="302" t="s">
        <v>136</v>
      </c>
      <c r="B1" s="303"/>
      <c r="D1" s="25" t="s">
        <v>134</v>
      </c>
      <c r="E1" s="89" t="str">
        <f>VLOOKUP($K$1,'BMP info'!A:G,3,FALSE)</f>
        <v>Urban Forest Buffers</v>
      </c>
      <c r="I1" s="22"/>
      <c r="J1" s="37" t="s">
        <v>135</v>
      </c>
      <c r="K1" s="50">
        <v>47</v>
      </c>
      <c r="L1" s="22"/>
      <c r="M1" s="22"/>
      <c r="N1" s="22"/>
      <c r="O1" s="22"/>
      <c r="P1" s="22"/>
      <c r="Q1" s="22"/>
      <c r="R1" s="22"/>
    </row>
    <row r="2" spans="1:19" s="20" customFormat="1" ht="12.75" customHeight="1">
      <c r="D2" s="48" t="s">
        <v>3</v>
      </c>
      <c r="E2" s="19" t="str">
        <f>VLOOKUP($K$1,'BMP info'!A:G,4,FALSE)</f>
        <v>ForestBufUrban</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lu change
u/l treatment</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43" t="s">
        <v>130</v>
      </c>
      <c r="K11" s="43" t="s">
        <v>128</v>
      </c>
      <c r="L11" s="43" t="s">
        <v>129</v>
      </c>
      <c r="M11" s="43" t="s">
        <v>130</v>
      </c>
    </row>
    <row r="12" spans="1:19" ht="5.25" customHeight="1" thickBot="1"/>
    <row r="13" spans="1:19" ht="12.75" customHeight="1">
      <c r="C13" s="24" t="s">
        <v>9</v>
      </c>
      <c r="D13" s="28">
        <f t="shared" ref="D13:F16" si="0">IF(D27*$D$34=0,"-",1000*D27/$D$34)</f>
        <v>29.521614678899084</v>
      </c>
      <c r="E13" s="29">
        <f t="shared" si="0"/>
        <v>1.6108992143025171</v>
      </c>
      <c r="F13" s="30">
        <f t="shared" si="0"/>
        <v>764.95295544577743</v>
      </c>
      <c r="G13" s="305" t="s">
        <v>254</v>
      </c>
      <c r="H13" s="300"/>
      <c r="J13" s="24" t="s">
        <v>9</v>
      </c>
      <c r="K13" s="28">
        <f t="shared" ref="K13:M16" si="1">IF(K27*$D$34=0,"-",1000*K27/$D$34)</f>
        <v>18.527769134791814</v>
      </c>
      <c r="L13" s="29">
        <f t="shared" si="1"/>
        <v>1.073706344860033</v>
      </c>
      <c r="M13" s="30">
        <f t="shared" si="1"/>
        <v>605.96029771818394</v>
      </c>
      <c r="N13" s="305" t="s">
        <v>133</v>
      </c>
      <c r="O13" s="300"/>
    </row>
    <row r="14" spans="1:19">
      <c r="C14" s="24" t="s">
        <v>7</v>
      </c>
      <c r="D14" s="31">
        <f t="shared" si="0"/>
        <v>16.594933075511648</v>
      </c>
      <c r="E14" s="32">
        <f t="shared" si="0"/>
        <v>0.99207217125382252</v>
      </c>
      <c r="F14" s="33">
        <f t="shared" si="0"/>
        <v>333.0924917431193</v>
      </c>
      <c r="G14" s="301"/>
      <c r="H14" s="300"/>
      <c r="J14" s="24" t="s">
        <v>7</v>
      </c>
      <c r="K14" s="31">
        <f t="shared" si="1"/>
        <v>11.418653570454012</v>
      </c>
      <c r="L14" s="32">
        <f t="shared" si="1"/>
        <v>0.72844040461067983</v>
      </c>
      <c r="M14" s="33">
        <f t="shared" si="1"/>
        <v>311.52931959538932</v>
      </c>
      <c r="N14" s="301"/>
      <c r="O14" s="300"/>
    </row>
    <row r="15" spans="1:19">
      <c r="C15" s="24" t="s">
        <v>8</v>
      </c>
      <c r="D15" s="31">
        <f t="shared" si="0"/>
        <v>14.846830381557281</v>
      </c>
      <c r="E15" s="32">
        <f t="shared" si="0"/>
        <v>0.88154121289108445</v>
      </c>
      <c r="F15" s="33">
        <f t="shared" si="0"/>
        <v>202.39426638438013</v>
      </c>
      <c r="G15" s="301"/>
      <c r="H15" s="300"/>
      <c r="J15" s="24" t="s">
        <v>8</v>
      </c>
      <c r="K15" s="31">
        <f t="shared" si="1"/>
        <v>10.726959149376617</v>
      </c>
      <c r="L15" s="32">
        <f t="shared" si="1"/>
        <v>0.75566325476358498</v>
      </c>
      <c r="M15" s="33">
        <f t="shared" si="1"/>
        <v>237.12052279463657</v>
      </c>
      <c r="N15" s="301"/>
      <c r="O15" s="300"/>
    </row>
    <row r="16" spans="1:19" ht="13.5" thickBot="1">
      <c r="C16" s="24" t="s">
        <v>6</v>
      </c>
      <c r="D16" s="34">
        <f t="shared" si="0"/>
        <v>7.0536600159962362</v>
      </c>
      <c r="E16" s="35">
        <f t="shared" si="0"/>
        <v>0.52569531874852971</v>
      </c>
      <c r="F16" s="36">
        <f t="shared" si="0"/>
        <v>104.03741724770643</v>
      </c>
      <c r="G16" s="301"/>
      <c r="H16" s="300"/>
      <c r="J16" s="24" t="s">
        <v>6</v>
      </c>
      <c r="K16" s="34">
        <f t="shared" si="1"/>
        <v>5.458459846624323</v>
      </c>
      <c r="L16" s="35">
        <f t="shared" si="1"/>
        <v>0.36775503552105393</v>
      </c>
      <c r="M16" s="36">
        <f t="shared" si="1"/>
        <v>84.620467052458253</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33.873485948407883</v>
      </c>
      <c r="E20" s="29">
        <f t="shared" si="2"/>
        <v>620.7713003528761</v>
      </c>
      <c r="F20" s="30">
        <f t="shared" si="2"/>
        <v>1.3072699345507444</v>
      </c>
      <c r="G20" s="305" t="s">
        <v>253</v>
      </c>
      <c r="H20" s="300"/>
      <c r="J20" s="24" t="s">
        <v>9</v>
      </c>
      <c r="K20" s="28">
        <f t="shared" ref="K20:M23" si="3">IF(K27=0,"-",$D$34/K27)</f>
        <v>53.973038671028128</v>
      </c>
      <c r="L20" s="29">
        <f t="shared" si="3"/>
        <v>931.35334888084208</v>
      </c>
      <c r="M20" s="30">
        <f t="shared" si="3"/>
        <v>1.6502731346684256</v>
      </c>
      <c r="N20" s="305" t="s">
        <v>132</v>
      </c>
      <c r="O20" s="300"/>
    </row>
    <row r="21" spans="1:16">
      <c r="C21" s="24" t="s">
        <v>7</v>
      </c>
      <c r="D21" s="31">
        <f t="shared" si="2"/>
        <v>60.25935720558298</v>
      </c>
      <c r="E21" s="32">
        <f t="shared" si="2"/>
        <v>1007.991181464306</v>
      </c>
      <c r="F21" s="33">
        <f t="shared" si="2"/>
        <v>3.0021691415704423</v>
      </c>
      <c r="G21" s="301"/>
      <c r="H21" s="300"/>
      <c r="J21" s="24" t="s">
        <v>7</v>
      </c>
      <c r="K21" s="31">
        <f t="shared" si="3"/>
        <v>87.575999554581415</v>
      </c>
      <c r="L21" s="32">
        <f t="shared" si="3"/>
        <v>1372.7958988415216</v>
      </c>
      <c r="M21" s="33">
        <f t="shared" si="3"/>
        <v>3.2099707382238964</v>
      </c>
      <c r="N21" s="301"/>
      <c r="O21" s="300"/>
    </row>
    <row r="22" spans="1:16">
      <c r="C22" s="24" t="s">
        <v>8</v>
      </c>
      <c r="D22" s="31">
        <f t="shared" si="2"/>
        <v>67.354443628735666</v>
      </c>
      <c r="E22" s="32">
        <f t="shared" si="2"/>
        <v>1134.3769132703626</v>
      </c>
      <c r="F22" s="33">
        <f t="shared" si="2"/>
        <v>4.9408514275836</v>
      </c>
      <c r="G22" s="301"/>
      <c r="H22" s="300"/>
      <c r="J22" s="24" t="s">
        <v>8</v>
      </c>
      <c r="K22" s="31">
        <f t="shared" si="3"/>
        <v>93.223064064536288</v>
      </c>
      <c r="L22" s="32">
        <f t="shared" si="3"/>
        <v>1323.3407787081794</v>
      </c>
      <c r="M22" s="33">
        <f t="shared" si="3"/>
        <v>4.2172646560250371</v>
      </c>
      <c r="N22" s="301"/>
      <c r="O22" s="300"/>
    </row>
    <row r="23" spans="1:16" ht="13.5" thickBot="1">
      <c r="C23" s="24" t="s">
        <v>6</v>
      </c>
      <c r="D23" s="34">
        <f t="shared" si="2"/>
        <v>141.77037137205474</v>
      </c>
      <c r="E23" s="35">
        <f t="shared" si="2"/>
        <v>1902.2425430391886</v>
      </c>
      <c r="F23" s="36">
        <f t="shared" si="2"/>
        <v>9.6119264246926086</v>
      </c>
      <c r="G23" s="301"/>
      <c r="H23" s="300"/>
      <c r="J23" s="24" t="s">
        <v>6</v>
      </c>
      <c r="K23" s="34">
        <f t="shared" si="3"/>
        <v>183.20186061612787</v>
      </c>
      <c r="L23" s="35">
        <f t="shared" si="3"/>
        <v>2719.2013797530999</v>
      </c>
      <c r="M23" s="36">
        <f t="shared" si="3"/>
        <v>11.817471999771357</v>
      </c>
      <c r="N23" s="301"/>
      <c r="O23" s="300"/>
    </row>
    <row r="24" spans="1:16" ht="13.5" thickBot="1"/>
    <row r="25" spans="1:16" s="42" customFormat="1">
      <c r="A25" s="86" t="s">
        <v>255</v>
      </c>
      <c r="D25" s="43" t="s">
        <v>128</v>
      </c>
      <c r="E25" s="43" t="s">
        <v>129</v>
      </c>
      <c r="F25" s="43" t="s">
        <v>130</v>
      </c>
      <c r="H25" s="86"/>
      <c r="K25" s="43" t="s">
        <v>128</v>
      </c>
      <c r="L25" s="43" t="s">
        <v>129</v>
      </c>
      <c r="M25" s="43" t="s">
        <v>130</v>
      </c>
    </row>
    <row r="26" spans="1:16" ht="5.25" customHeight="1" thickBot="1"/>
    <row r="27" spans="1:16" ht="12.75" customHeight="1">
      <c r="C27" s="24" t="s">
        <v>9</v>
      </c>
      <c r="D27" s="208">
        <v>15.687048000000001</v>
      </c>
      <c r="E27" s="209">
        <v>0.85599157000000003</v>
      </c>
      <c r="F27" s="210">
        <v>406.47687669999999</v>
      </c>
      <c r="G27" s="305" t="str">
        <f>"EOS pounds removed per '"&amp;E3&amp;"' of practice per year"</f>
        <v>EOS pounds removed per 'acre' of practice per year</v>
      </c>
      <c r="H27" s="300"/>
      <c r="J27" s="24" t="s">
        <v>9</v>
      </c>
      <c r="K27" s="56">
        <v>9.8451933240000002</v>
      </c>
      <c r="L27" s="209">
        <v>0.57054070899999998</v>
      </c>
      <c r="M27" s="210">
        <v>321.99215320000002</v>
      </c>
      <c r="N27" s="299" t="str">
        <f>"delivered pounds removed per '"&amp;E3&amp;"' of practice per year"</f>
        <v>delivered pounds removed per 'acre' of practice per year</v>
      </c>
      <c r="O27" s="300"/>
      <c r="P27" s="204"/>
    </row>
    <row r="28" spans="1:16">
      <c r="C28" s="24" t="s">
        <v>7</v>
      </c>
      <c r="D28" s="211">
        <v>8.8181325630000007</v>
      </c>
      <c r="E28" s="212">
        <v>0.52716235</v>
      </c>
      <c r="F28" s="213">
        <v>176.9970228</v>
      </c>
      <c r="G28" s="301"/>
      <c r="H28" s="300"/>
      <c r="J28" s="24" t="s">
        <v>7</v>
      </c>
      <c r="K28" s="57">
        <v>6.0675870410000003</v>
      </c>
      <c r="L28" s="212">
        <v>0.38707501999999999</v>
      </c>
      <c r="M28" s="213">
        <v>165.53889219999999</v>
      </c>
      <c r="N28" s="301"/>
      <c r="O28" s="300"/>
      <c r="P28" s="204"/>
    </row>
    <row r="29" spans="1:16">
      <c r="C29" s="24" t="s">
        <v>8</v>
      </c>
      <c r="D29" s="211">
        <v>7.8892344940000001</v>
      </c>
      <c r="E29" s="212">
        <v>0.468428962</v>
      </c>
      <c r="F29" s="213">
        <v>107.54725329999999</v>
      </c>
      <c r="G29" s="301"/>
      <c r="H29" s="300"/>
      <c r="J29" s="24" t="s">
        <v>8</v>
      </c>
      <c r="K29" s="57">
        <v>5.7000379179999996</v>
      </c>
      <c r="L29" s="212">
        <v>0.40154056199999999</v>
      </c>
      <c r="M29" s="213">
        <v>125.99991780000001</v>
      </c>
      <c r="N29" s="301"/>
      <c r="O29" s="300"/>
      <c r="P29" s="204"/>
    </row>
    <row r="30" spans="1:16" ht="13.5" thickBot="1">
      <c r="C30" s="24" t="s">
        <v>6</v>
      </c>
      <c r="D30" s="214">
        <v>3.748138591</v>
      </c>
      <c r="E30" s="215">
        <v>0.27934134999999999</v>
      </c>
      <c r="F30" s="216">
        <v>55.28288259</v>
      </c>
      <c r="G30" s="301"/>
      <c r="H30" s="300"/>
      <c r="J30" s="24" t="s">
        <v>6</v>
      </c>
      <c r="K30" s="58">
        <v>2.9004891009999998</v>
      </c>
      <c r="L30" s="215">
        <v>0.19541583200000001</v>
      </c>
      <c r="M30" s="216">
        <v>44.965200680000002</v>
      </c>
      <c r="N30" s="301"/>
      <c r="O30" s="300"/>
      <c r="P30" s="204"/>
    </row>
    <row r="31" spans="1:16" ht="13.5" thickBot="1"/>
    <row r="32" spans="1:16" s="42" customFormat="1">
      <c r="A32" s="86" t="s">
        <v>1</v>
      </c>
    </row>
    <row r="33" spans="1:12" ht="5.25" customHeight="1" thickBot="1"/>
    <row r="34" spans="1:12" ht="13.5" thickBot="1">
      <c r="C34" s="24" t="s">
        <v>11</v>
      </c>
      <c r="D34" s="46">
        <f>-PMT(D39,D38,D36)+D37</f>
        <v>531.375</v>
      </c>
      <c r="E34" s="18" t="str">
        <f>"$ per '"&amp;E3&amp;"' of practice per year"</f>
        <v>$ per 'acre' of practice per year</v>
      </c>
      <c r="I34" s="82" t="s">
        <v>169</v>
      </c>
      <c r="J34" s="217" t="s">
        <v>160</v>
      </c>
      <c r="K34" s="218" t="s">
        <v>233</v>
      </c>
      <c r="L34" s="219" t="s">
        <v>165</v>
      </c>
    </row>
    <row r="35" spans="1:12" ht="5.25" customHeight="1" thickBot="1">
      <c r="C35" s="24"/>
      <c r="D35" s="47"/>
      <c r="E35" s="18"/>
      <c r="I35" s="78"/>
      <c r="J35" s="220"/>
      <c r="K35" s="220"/>
      <c r="L35" s="221"/>
    </row>
    <row r="36" spans="1:12">
      <c r="C36" s="24" t="s">
        <v>10</v>
      </c>
      <c r="D36" s="38">
        <f>L36</f>
        <v>6507.5</v>
      </c>
      <c r="E36" s="18" t="str">
        <f>"$ per '"&amp;E3&amp;"' of practice"</f>
        <v>$ per 'acre' of practice</v>
      </c>
      <c r="I36" s="78" t="s">
        <v>162</v>
      </c>
      <c r="J36" s="236">
        <v>1791</v>
      </c>
      <c r="K36" s="236">
        <v>11224</v>
      </c>
      <c r="L36" s="241">
        <f>AVERAGE(J36:K36)</f>
        <v>6507.5</v>
      </c>
    </row>
    <row r="37" spans="1:12">
      <c r="C37" s="24" t="s">
        <v>12</v>
      </c>
      <c r="D37" s="39">
        <f>L37</f>
        <v>206</v>
      </c>
      <c r="E37" s="18" t="str">
        <f>"$ per '"&amp;E3&amp;"' of practice per year"</f>
        <v>$ per 'acre' of practice per year</v>
      </c>
      <c r="I37" s="78" t="s">
        <v>161</v>
      </c>
      <c r="J37" s="236">
        <v>0</v>
      </c>
      <c r="K37" s="236">
        <v>412</v>
      </c>
      <c r="L37" s="241">
        <f>AVERAGE(J37:K37)</f>
        <v>206</v>
      </c>
    </row>
    <row r="38" spans="1:12">
      <c r="C38" s="24" t="s">
        <v>13</v>
      </c>
      <c r="D38" s="40">
        <f>L38</f>
        <v>20</v>
      </c>
      <c r="E38" s="18" t="s">
        <v>15</v>
      </c>
      <c r="I38" s="78" t="s">
        <v>163</v>
      </c>
      <c r="J38" s="245">
        <v>20</v>
      </c>
      <c r="K38" s="245">
        <v>20</v>
      </c>
      <c r="L38" s="247">
        <v>20</v>
      </c>
    </row>
    <row r="39" spans="1:12" ht="13.5" thickBot="1">
      <c r="C39" s="24" t="s">
        <v>14</v>
      </c>
      <c r="D39" s="41">
        <f>Summary!C35</f>
        <v>0</v>
      </c>
      <c r="E39" s="18" t="s">
        <v>16</v>
      </c>
      <c r="I39" s="80" t="s">
        <v>166</v>
      </c>
      <c r="J39" s="239">
        <f>J37+(J36/J38)</f>
        <v>89.55</v>
      </c>
      <c r="K39" s="239">
        <f>K37+(K36/K38)</f>
        <v>973.2</v>
      </c>
      <c r="L39" s="242">
        <f>L37+(L36/L38)</f>
        <v>531.375</v>
      </c>
    </row>
    <row r="40" spans="1:12">
      <c r="F40" s="234"/>
    </row>
    <row r="41" spans="1:12">
      <c r="I41" s="304" t="s">
        <v>271</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ignoredErrors>
    <ignoredError sqref="D39" unlockedFormula="1"/>
  </ignoredErrors>
</worksheet>
</file>

<file path=xl/worksheets/sheet63.xml><?xml version="1.0" encoding="utf-8"?>
<worksheet xmlns="http://schemas.openxmlformats.org/spreadsheetml/2006/main" xmlns:r="http://schemas.openxmlformats.org/officeDocument/2006/relationships">
  <sheetPr codeName="Sheet12"/>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Forest Conservation</v>
      </c>
      <c r="I1" s="22"/>
      <c r="J1" s="37" t="s">
        <v>135</v>
      </c>
      <c r="K1" s="50">
        <v>48</v>
      </c>
      <c r="L1" s="22"/>
      <c r="M1" s="22"/>
      <c r="N1" s="22"/>
      <c r="O1" s="22"/>
      <c r="P1" s="22"/>
      <c r="Q1" s="22"/>
      <c r="R1" s="22"/>
    </row>
    <row r="2" spans="1:19" s="20" customFormat="1" ht="12.75" customHeight="1">
      <c r="D2" s="48" t="s">
        <v>3</v>
      </c>
      <c r="E2" s="19" t="str">
        <f>VLOOKUP($K$1,'BMP info'!A:G,4,FALSE)</f>
        <v>ForestCon</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landuse change</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43" t="s">
        <v>130</v>
      </c>
      <c r="K11" s="43" t="s">
        <v>128</v>
      </c>
      <c r="L11" s="43" t="s">
        <v>129</v>
      </c>
      <c r="M11" s="43" t="s">
        <v>130</v>
      </c>
    </row>
    <row r="12" spans="1:19" ht="5.25" customHeight="1" thickBot="1"/>
    <row r="13" spans="1:19" ht="12.75" customHeight="1">
      <c r="C13" s="24" t="s">
        <v>9</v>
      </c>
      <c r="D13" s="28" t="str">
        <f t="shared" ref="D13:F15" si="0">IF(D27*$D$34=0,"-",1000*D27/$D$34)</f>
        <v>-</v>
      </c>
      <c r="E13" s="29" t="str">
        <f t="shared" si="0"/>
        <v>-</v>
      </c>
      <c r="F13" s="30" t="str">
        <f t="shared" si="0"/>
        <v>-</v>
      </c>
      <c r="G13" s="305" t="s">
        <v>254</v>
      </c>
      <c r="H13" s="300"/>
      <c r="J13" s="24" t="s">
        <v>9</v>
      </c>
      <c r="K13" s="28" t="str">
        <f t="shared" ref="K13:M16" si="1">IF(K27*$D$34=0,"-",1000*K27/$D$34)</f>
        <v>-</v>
      </c>
      <c r="L13" s="29" t="str">
        <f t="shared" si="1"/>
        <v>-</v>
      </c>
      <c r="M13" s="30" t="str">
        <f t="shared" si="1"/>
        <v>-</v>
      </c>
      <c r="N13" s="305" t="s">
        <v>133</v>
      </c>
      <c r="O13" s="300"/>
    </row>
    <row r="14" spans="1:19">
      <c r="C14" s="24" t="s">
        <v>7</v>
      </c>
      <c r="D14" s="31" t="str">
        <f t="shared" si="0"/>
        <v>-</v>
      </c>
      <c r="E14" s="32" t="str">
        <f t="shared" si="0"/>
        <v>-</v>
      </c>
      <c r="F14" s="33" t="str">
        <f t="shared" si="0"/>
        <v>-</v>
      </c>
      <c r="G14" s="301"/>
      <c r="H14" s="300"/>
      <c r="J14" s="24" t="s">
        <v>7</v>
      </c>
      <c r="K14" s="31" t="str">
        <f t="shared" si="1"/>
        <v>-</v>
      </c>
      <c r="L14" s="32" t="str">
        <f t="shared" si="1"/>
        <v>-</v>
      </c>
      <c r="M14" s="33" t="str">
        <f t="shared" si="1"/>
        <v>-</v>
      </c>
      <c r="N14" s="301"/>
      <c r="O14" s="300"/>
    </row>
    <row r="15" spans="1:19">
      <c r="C15" s="24" t="s">
        <v>8</v>
      </c>
      <c r="D15" s="31" t="str">
        <f t="shared" si="0"/>
        <v>-</v>
      </c>
      <c r="E15" s="32" t="str">
        <f t="shared" si="0"/>
        <v>-</v>
      </c>
      <c r="F15" s="33" t="str">
        <f t="shared" si="0"/>
        <v>-</v>
      </c>
      <c r="G15" s="301"/>
      <c r="H15" s="300"/>
      <c r="J15" s="24" t="s">
        <v>8</v>
      </c>
      <c r="K15" s="31" t="str">
        <f t="shared" si="1"/>
        <v>-</v>
      </c>
      <c r="L15" s="32" t="str">
        <f t="shared" si="1"/>
        <v>-</v>
      </c>
      <c r="M15" s="33" t="str">
        <f t="shared" si="1"/>
        <v>-</v>
      </c>
      <c r="N15" s="301"/>
      <c r="O15" s="300"/>
    </row>
    <row r="16" spans="1:19" ht="13.5" thickBot="1">
      <c r="C16" s="24" t="s">
        <v>6</v>
      </c>
      <c r="D16" s="34" t="str">
        <f>IF(E30*$D$34=0,"-",1000*E30/$D$34)</f>
        <v>-</v>
      </c>
      <c r="E16" s="35" t="str">
        <f>IF(E30*$D$34=0,"-",1000*E30/$D$34)</f>
        <v>-</v>
      </c>
      <c r="F16" s="36" t="str">
        <f>IF(F30*$D$34=0,"-",1000*F30/$D$34)</f>
        <v>-</v>
      </c>
      <c r="G16" s="301"/>
      <c r="H16" s="300"/>
      <c r="J16" s="24" t="s">
        <v>6</v>
      </c>
      <c r="K16" s="34" t="str">
        <f t="shared" si="1"/>
        <v>-</v>
      </c>
      <c r="L16" s="35" t="str">
        <f t="shared" si="1"/>
        <v>-</v>
      </c>
      <c r="M16" s="36" t="str">
        <f t="shared" si="1"/>
        <v>-</v>
      </c>
      <c r="N16" s="301"/>
      <c r="O16" s="300"/>
    </row>
    <row r="17" spans="1:15" ht="5.25" customHeight="1" thickBot="1"/>
    <row r="18" spans="1:15" s="42" customFormat="1">
      <c r="A18" s="86" t="s">
        <v>252</v>
      </c>
      <c r="D18" s="43" t="s">
        <v>128</v>
      </c>
      <c r="E18" s="43" t="s">
        <v>129</v>
      </c>
      <c r="F18" s="43" t="s">
        <v>130</v>
      </c>
      <c r="K18" s="43" t="s">
        <v>128</v>
      </c>
      <c r="L18" s="43" t="s">
        <v>129</v>
      </c>
      <c r="M18" s="43" t="s">
        <v>130</v>
      </c>
    </row>
    <row r="19" spans="1:15" ht="5.25" customHeight="1" thickBot="1"/>
    <row r="20" spans="1:15" ht="12.75" customHeight="1">
      <c r="C20" s="24" t="s">
        <v>9</v>
      </c>
      <c r="D20" s="28">
        <f t="shared" ref="D20:F23" si="2">IF(D27=0,"-",$D$34/D27)</f>
        <v>0</v>
      </c>
      <c r="E20" s="29">
        <f t="shared" si="2"/>
        <v>0</v>
      </c>
      <c r="F20" s="30">
        <f t="shared" si="2"/>
        <v>0</v>
      </c>
      <c r="G20" s="305" t="s">
        <v>253</v>
      </c>
      <c r="H20" s="300"/>
      <c r="J20" s="24" t="s">
        <v>9</v>
      </c>
      <c r="K20" s="28">
        <f t="shared" ref="K20:M23" si="3">IF(K27=0,"-",$D$34/K27)</f>
        <v>0</v>
      </c>
      <c r="L20" s="29">
        <f t="shared" si="3"/>
        <v>0</v>
      </c>
      <c r="M20" s="30">
        <f t="shared" si="3"/>
        <v>0</v>
      </c>
      <c r="N20" s="305" t="s">
        <v>132</v>
      </c>
      <c r="O20" s="300"/>
    </row>
    <row r="21" spans="1:15">
      <c r="C21" s="24" t="s">
        <v>7</v>
      </c>
      <c r="D21" s="31">
        <f t="shared" si="2"/>
        <v>0</v>
      </c>
      <c r="E21" s="32">
        <f t="shared" si="2"/>
        <v>0</v>
      </c>
      <c r="F21" s="33">
        <f t="shared" si="2"/>
        <v>0</v>
      </c>
      <c r="G21" s="301"/>
      <c r="H21" s="300"/>
      <c r="J21" s="24" t="s">
        <v>7</v>
      </c>
      <c r="K21" s="31">
        <f t="shared" si="3"/>
        <v>0</v>
      </c>
      <c r="L21" s="32">
        <f t="shared" si="3"/>
        <v>0</v>
      </c>
      <c r="M21" s="33">
        <f t="shared" si="3"/>
        <v>0</v>
      </c>
      <c r="N21" s="301"/>
      <c r="O21" s="300"/>
    </row>
    <row r="22" spans="1:15">
      <c r="C22" s="24" t="s">
        <v>8</v>
      </c>
      <c r="D22" s="31">
        <f t="shared" si="2"/>
        <v>0</v>
      </c>
      <c r="E22" s="32">
        <f t="shared" si="2"/>
        <v>0</v>
      </c>
      <c r="F22" s="33">
        <f t="shared" si="2"/>
        <v>0</v>
      </c>
      <c r="G22" s="301"/>
      <c r="H22" s="300"/>
      <c r="J22" s="24" t="s">
        <v>8</v>
      </c>
      <c r="K22" s="31">
        <f t="shared" si="3"/>
        <v>0</v>
      </c>
      <c r="L22" s="32">
        <f t="shared" si="3"/>
        <v>0</v>
      </c>
      <c r="M22" s="33">
        <f t="shared" si="3"/>
        <v>0</v>
      </c>
      <c r="N22" s="301"/>
      <c r="O22" s="300"/>
    </row>
    <row r="23" spans="1:15" ht="13.5" thickBot="1">
      <c r="C23" s="24" t="s">
        <v>6</v>
      </c>
      <c r="D23" s="34">
        <f t="shared" si="2"/>
        <v>0</v>
      </c>
      <c r="E23" s="35">
        <f t="shared" si="2"/>
        <v>0</v>
      </c>
      <c r="F23" s="36">
        <f t="shared" si="2"/>
        <v>0</v>
      </c>
      <c r="G23" s="301"/>
      <c r="H23" s="300"/>
      <c r="J23" s="24" t="s">
        <v>6</v>
      </c>
      <c r="K23" s="34">
        <f t="shared" si="3"/>
        <v>0</v>
      </c>
      <c r="L23" s="35">
        <f t="shared" si="3"/>
        <v>0</v>
      </c>
      <c r="M23" s="36" t="str">
        <f t="shared" si="3"/>
        <v>-</v>
      </c>
      <c r="N23" s="301"/>
      <c r="O23" s="300"/>
    </row>
    <row r="24" spans="1:15" ht="13.5" thickBot="1"/>
    <row r="25" spans="1:15" s="42" customFormat="1">
      <c r="A25" s="86" t="s">
        <v>255</v>
      </c>
      <c r="D25" s="43" t="s">
        <v>128</v>
      </c>
      <c r="E25" s="43" t="s">
        <v>129</v>
      </c>
      <c r="F25" s="43" t="s">
        <v>130</v>
      </c>
      <c r="H25" s="86"/>
      <c r="K25" s="43" t="s">
        <v>128</v>
      </c>
      <c r="L25" s="43" t="s">
        <v>129</v>
      </c>
      <c r="M25" s="43" t="s">
        <v>130</v>
      </c>
    </row>
    <row r="26" spans="1:15" ht="5.25" customHeight="1" thickBot="1"/>
    <row r="27" spans="1:15" ht="12.75" customHeight="1">
      <c r="C27" s="24" t="s">
        <v>9</v>
      </c>
      <c r="D27" s="208">
        <v>11.65259781</v>
      </c>
      <c r="E27" s="209">
        <v>0.44578558600000001</v>
      </c>
      <c r="F27" s="210">
        <v>190.78720060000001</v>
      </c>
      <c r="G27" s="305" t="str">
        <f>"EOS pounds removed per '"&amp;E3&amp;"' of practice per year"</f>
        <v>EOS pounds removed per 'acre' of practice per year</v>
      </c>
      <c r="H27" s="300"/>
      <c r="J27" s="24" t="s">
        <v>9</v>
      </c>
      <c r="K27" s="208">
        <v>7.1287412659999996</v>
      </c>
      <c r="L27" s="209">
        <v>0.35520819999999997</v>
      </c>
      <c r="M27" s="210">
        <v>152.63577219999999</v>
      </c>
      <c r="N27" s="305" t="str">
        <f>"delivered pounds removed per '"&amp;E3&amp;"' of practice per year"</f>
        <v>delivered pounds removed per 'acre' of practice per year</v>
      </c>
      <c r="O27" s="307"/>
    </row>
    <row r="28" spans="1:15">
      <c r="C28" s="24" t="s">
        <v>7</v>
      </c>
      <c r="D28" s="211">
        <v>6.1822924800000001</v>
      </c>
      <c r="E28" s="212">
        <v>0.300647952</v>
      </c>
      <c r="F28" s="213">
        <v>74.637420579999997</v>
      </c>
      <c r="G28" s="301"/>
      <c r="H28" s="300"/>
      <c r="J28" s="24" t="s">
        <v>7</v>
      </c>
      <c r="K28" s="211">
        <v>4.1146607380000004</v>
      </c>
      <c r="L28" s="212">
        <v>0.22693534500000001</v>
      </c>
      <c r="M28" s="213">
        <v>71.330135780000006</v>
      </c>
      <c r="N28" s="305"/>
      <c r="O28" s="307"/>
    </row>
    <row r="29" spans="1:15">
      <c r="C29" s="24" t="s">
        <v>8</v>
      </c>
      <c r="D29" s="211">
        <v>4.8954497630000002</v>
      </c>
      <c r="E29" s="212">
        <v>0.299662123</v>
      </c>
      <c r="F29" s="213">
        <v>53.096004399999998</v>
      </c>
      <c r="G29" s="301"/>
      <c r="H29" s="300"/>
      <c r="J29" s="24" t="s">
        <v>8</v>
      </c>
      <c r="K29" s="211">
        <v>3.87560744</v>
      </c>
      <c r="L29" s="212">
        <v>0.22587676800000001</v>
      </c>
      <c r="M29" s="213">
        <v>58.20193312</v>
      </c>
      <c r="N29" s="305"/>
      <c r="O29" s="307"/>
    </row>
    <row r="30" spans="1:15" ht="13.5" thickBot="1">
      <c r="C30" s="24" t="s">
        <v>6</v>
      </c>
      <c r="D30" s="214">
        <v>2.6732427599999999</v>
      </c>
      <c r="E30" s="215">
        <v>0.14562478300000001</v>
      </c>
      <c r="F30" s="216">
        <v>21.789621660000002</v>
      </c>
      <c r="G30" s="301"/>
      <c r="H30" s="300"/>
      <c r="J30" s="24" t="s">
        <v>6</v>
      </c>
      <c r="K30" s="214">
        <v>1.9360965990000001</v>
      </c>
      <c r="L30" s="215">
        <v>7.7661805E-2</v>
      </c>
      <c r="M30" s="216">
        <v>0</v>
      </c>
      <c r="N30" s="305"/>
      <c r="O30" s="307"/>
    </row>
    <row r="31" spans="1:15" ht="13.5" thickBot="1"/>
    <row r="32" spans="1:15" s="42" customFormat="1">
      <c r="A32" s="86" t="s">
        <v>1</v>
      </c>
    </row>
    <row r="33" spans="1:12" ht="5.25" customHeight="1" thickBot="1"/>
    <row r="34" spans="1:12" ht="13.5" thickBot="1">
      <c r="C34" s="24" t="s">
        <v>11</v>
      </c>
      <c r="D34" s="46">
        <f>-PMT(D39,D38,D36)+D37</f>
        <v>0</v>
      </c>
      <c r="E34" s="18" t="str">
        <f>"$ per '"&amp;E3&amp;"' of practice per year"</f>
        <v>$ per 'acre' of practice per year</v>
      </c>
      <c r="I34" s="82" t="s">
        <v>169</v>
      </c>
      <c r="J34" s="217" t="s">
        <v>160</v>
      </c>
      <c r="K34" s="217"/>
      <c r="L34" s="219" t="s">
        <v>165</v>
      </c>
    </row>
    <row r="35" spans="1:12" ht="5.25" customHeight="1" thickBot="1">
      <c r="C35" s="24"/>
      <c r="D35" s="47"/>
      <c r="E35" s="18"/>
      <c r="I35" s="78"/>
      <c r="J35" s="220"/>
      <c r="K35" s="220"/>
      <c r="L35" s="221"/>
    </row>
    <row r="36" spans="1:12">
      <c r="C36" s="24" t="s">
        <v>10</v>
      </c>
      <c r="D36" s="38">
        <v>0</v>
      </c>
      <c r="E36" s="18" t="str">
        <f>"$ per '"&amp;E3&amp;"' of practice"</f>
        <v>$ per 'acre' of practice</v>
      </c>
      <c r="I36" s="78" t="s">
        <v>162</v>
      </c>
      <c r="J36" s="236">
        <v>0</v>
      </c>
      <c r="K36" s="236"/>
      <c r="L36" s="237"/>
    </row>
    <row r="37" spans="1:12">
      <c r="C37" s="24" t="s">
        <v>12</v>
      </c>
      <c r="D37" s="39">
        <v>0</v>
      </c>
      <c r="E37" s="18" t="str">
        <f>"$ per '"&amp;E3&amp;"' of practice per year"</f>
        <v>$ per 'acre' of practice per year</v>
      </c>
      <c r="I37" s="78" t="s">
        <v>161</v>
      </c>
      <c r="J37" s="236">
        <v>0</v>
      </c>
      <c r="K37" s="236"/>
      <c r="L37" s="237"/>
    </row>
    <row r="38" spans="1:12">
      <c r="C38" s="24" t="s">
        <v>13</v>
      </c>
      <c r="D38" s="40">
        <v>1</v>
      </c>
      <c r="E38" s="18" t="s">
        <v>15</v>
      </c>
      <c r="I38" s="78" t="s">
        <v>163</v>
      </c>
      <c r="J38" s="245">
        <v>1</v>
      </c>
      <c r="K38" s="245"/>
      <c r="L38" s="246"/>
    </row>
    <row r="39" spans="1:12" ht="13.5" thickBot="1">
      <c r="C39" s="24" t="s">
        <v>14</v>
      </c>
      <c r="D39" s="41">
        <f>Summary!C35</f>
        <v>0</v>
      </c>
      <c r="E39" s="18" t="s">
        <v>16</v>
      </c>
      <c r="I39" s="80" t="s">
        <v>166</v>
      </c>
      <c r="J39" s="239">
        <v>0</v>
      </c>
      <c r="K39" s="239"/>
      <c r="L39" s="240"/>
    </row>
    <row r="40" spans="1:12">
      <c r="F40" s="234"/>
    </row>
    <row r="41" spans="1:12">
      <c r="I41" s="304" t="s">
        <v>231</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A1:B1"/>
    <mergeCell ref="I41:L45"/>
    <mergeCell ref="G27:H30"/>
    <mergeCell ref="N27:O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64.xml><?xml version="1.0" encoding="utf-8"?>
<worksheet xmlns="http://schemas.openxmlformats.org/spreadsheetml/2006/main" xmlns:r="http://schemas.openxmlformats.org/officeDocument/2006/relationships">
  <sheetPr codeName="Sheet13"/>
  <dimension ref="A1:S48"/>
  <sheetViews>
    <sheetView workbookViewId="0">
      <pane ySplit="6" topLeftCell="A7" activePane="bottomLeft" state="frozenSplit"/>
      <selection activeCell="L46" sqref="L46"/>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2" style="17" bestFit="1" customWidth="1"/>
    <col min="13" max="16384" width="9.140625" style="17"/>
  </cols>
  <sheetData>
    <row r="1" spans="1:19" s="20" customFormat="1" ht="21" customHeight="1">
      <c r="A1" s="302" t="s">
        <v>136</v>
      </c>
      <c r="B1" s="303"/>
      <c r="D1" s="25" t="s">
        <v>134</v>
      </c>
      <c r="E1" s="89" t="str">
        <f>VLOOKUP($K$1,'BMP info'!A:G,3,FALSE)</f>
        <v>Impervious Urban Surface Reduction</v>
      </c>
      <c r="I1" s="22"/>
      <c r="J1" s="37" t="s">
        <v>135</v>
      </c>
      <c r="K1" s="50">
        <v>49</v>
      </c>
      <c r="L1" s="22"/>
      <c r="M1" s="22"/>
      <c r="N1" s="22"/>
      <c r="O1" s="22"/>
      <c r="P1" s="22"/>
      <c r="Q1" s="22"/>
      <c r="R1" s="22"/>
    </row>
    <row r="2" spans="1:19" s="20" customFormat="1" ht="12.75" customHeight="1">
      <c r="D2" s="48" t="s">
        <v>3</v>
      </c>
      <c r="E2" s="19" t="str">
        <f>VLOOKUP($K$1,'BMP info'!A:G,4,FALSE)</f>
        <v>ImpSurRed</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landuse change</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43" t="s">
        <v>130</v>
      </c>
      <c r="K11" s="43" t="s">
        <v>128</v>
      </c>
      <c r="L11" s="43" t="s">
        <v>129</v>
      </c>
      <c r="M11" s="43" t="s">
        <v>130</v>
      </c>
    </row>
    <row r="12" spans="1:19" ht="5.25" customHeight="1" thickBot="1"/>
    <row r="13" spans="1:19" ht="12.75" customHeight="1">
      <c r="C13" s="24" t="s">
        <v>9</v>
      </c>
      <c r="D13" s="28">
        <f t="shared" ref="D13:F15" si="0">IF(D27*$D$34=0,"-",1000*D27/$D$34)</f>
        <v>0.94661209128802692</v>
      </c>
      <c r="E13" s="29">
        <f t="shared" si="0"/>
        <v>0.1701613214195242</v>
      </c>
      <c r="F13" s="30">
        <f t="shared" si="0"/>
        <v>200.87339106003728</v>
      </c>
      <c r="G13" s="305" t="s">
        <v>254</v>
      </c>
      <c r="H13" s="300"/>
      <c r="J13" s="24" t="s">
        <v>9</v>
      </c>
      <c r="K13" s="28">
        <f t="shared" ref="K13:M16" si="1">IF(K27*$D$34=0,"-",1000*K27/$D$34)</f>
        <v>0.68603635181816081</v>
      </c>
      <c r="L13" s="29">
        <f t="shared" si="1"/>
        <v>0.13798031630702623</v>
      </c>
      <c r="M13" s="30">
        <f t="shared" si="1"/>
        <v>213.4936858346959</v>
      </c>
      <c r="N13" s="305" t="s">
        <v>133</v>
      </c>
      <c r="O13" s="300"/>
    </row>
    <row r="14" spans="1:19">
      <c r="C14" s="24" t="s">
        <v>7</v>
      </c>
      <c r="D14" s="31">
        <f t="shared" si="0"/>
        <v>0.55292266540773327</v>
      </c>
      <c r="E14" s="32">
        <f t="shared" si="0"/>
        <v>0.13324975381710152</v>
      </c>
      <c r="F14" s="33">
        <f t="shared" si="0"/>
        <v>88.856907192041078</v>
      </c>
      <c r="G14" s="301"/>
      <c r="H14" s="300"/>
      <c r="J14" s="24" t="s">
        <v>7</v>
      </c>
      <c r="K14" s="31">
        <f t="shared" si="1"/>
        <v>0.42317209324551502</v>
      </c>
      <c r="L14" s="32">
        <f t="shared" si="1"/>
        <v>0.10448714483108029</v>
      </c>
      <c r="M14" s="33">
        <f t="shared" si="1"/>
        <v>88.675047405752707</v>
      </c>
      <c r="N14" s="301"/>
      <c r="O14" s="300"/>
    </row>
    <row r="15" spans="1:19">
      <c r="C15" s="24" t="s">
        <v>8</v>
      </c>
      <c r="D15" s="31">
        <f t="shared" si="0"/>
        <v>0.46715073877898805</v>
      </c>
      <c r="E15" s="32">
        <f t="shared" si="0"/>
        <v>0.12870698351104254</v>
      </c>
      <c r="F15" s="33">
        <f t="shared" si="0"/>
        <v>61.163736084563475</v>
      </c>
      <c r="G15" s="301"/>
      <c r="H15" s="300"/>
      <c r="J15" s="24" t="s">
        <v>8</v>
      </c>
      <c r="K15" s="31">
        <f t="shared" si="1"/>
        <v>0.3896343091218939</v>
      </c>
      <c r="L15" s="32">
        <f t="shared" si="1"/>
        <v>0.11076188287313175</v>
      </c>
      <c r="M15" s="33">
        <f t="shared" si="1"/>
        <v>64.594624346544464</v>
      </c>
      <c r="N15" s="301"/>
      <c r="O15" s="300"/>
    </row>
    <row r="16" spans="1:19" ht="13.5" thickBot="1">
      <c r="C16" s="24" t="s">
        <v>6</v>
      </c>
      <c r="D16" s="34">
        <f>IF(E30*$D$34=0,"-",1000*E30/$D$34)</f>
        <v>8.3779126384634875E-2</v>
      </c>
      <c r="E16" s="35">
        <f>IF(E30*$D$34=0,"-",1000*E30/$D$34)</f>
        <v>8.3779126384634875E-2</v>
      </c>
      <c r="F16" s="36">
        <f>IF(F30*$D$34=0,"-",1000*F30/$D$34)</f>
        <v>32.455870794279534</v>
      </c>
      <c r="G16" s="301"/>
      <c r="H16" s="300"/>
      <c r="J16" s="24" t="s">
        <v>6</v>
      </c>
      <c r="K16" s="34">
        <f t="shared" si="1"/>
        <v>0.16961533680307669</v>
      </c>
      <c r="L16" s="35">
        <f t="shared" si="1"/>
        <v>6.6774117057780427E-2</v>
      </c>
      <c r="M16" s="36">
        <f t="shared" si="1"/>
        <v>29.896971397646407</v>
      </c>
      <c r="N16" s="301"/>
      <c r="O16" s="300"/>
    </row>
    <row r="17" spans="1:15" ht="5.25" customHeight="1" thickBot="1"/>
    <row r="18" spans="1:15" s="42" customFormat="1">
      <c r="A18" s="86" t="s">
        <v>252</v>
      </c>
      <c r="D18" s="43" t="s">
        <v>128</v>
      </c>
      <c r="E18" s="43" t="s">
        <v>129</v>
      </c>
      <c r="F18" s="43" t="s">
        <v>130</v>
      </c>
      <c r="K18" s="43" t="s">
        <v>128</v>
      </c>
      <c r="L18" s="43" t="s">
        <v>129</v>
      </c>
      <c r="M18" s="43" t="s">
        <v>130</v>
      </c>
    </row>
    <row r="19" spans="1:15" ht="5.25" customHeight="1" thickBot="1"/>
    <row r="20" spans="1:15" ht="12.75" customHeight="1">
      <c r="C20" s="24" t="s">
        <v>9</v>
      </c>
      <c r="D20" s="28">
        <f t="shared" ref="D20:F23" si="2">IF(D27=0,"-",$D$34/D27)</f>
        <v>1056.3989296178645</v>
      </c>
      <c r="E20" s="29">
        <f t="shared" si="2"/>
        <v>5876.7761772051017</v>
      </c>
      <c r="F20" s="30">
        <f t="shared" si="2"/>
        <v>4.978260160406804</v>
      </c>
      <c r="G20" s="305" t="s">
        <v>253</v>
      </c>
      <c r="H20" s="300"/>
      <c r="J20" s="24" t="s">
        <v>9</v>
      </c>
      <c r="K20" s="28">
        <f t="shared" ref="K20:M23" si="3">IF(K27=0,"-",$D$34/K27)</f>
        <v>1457.6487052759817</v>
      </c>
      <c r="L20" s="29">
        <f t="shared" si="3"/>
        <v>7247.4105493051256</v>
      </c>
      <c r="M20" s="30">
        <f t="shared" si="3"/>
        <v>4.6839792759692251</v>
      </c>
      <c r="N20" s="305" t="s">
        <v>132</v>
      </c>
      <c r="O20" s="300"/>
    </row>
    <row r="21" spans="1:15">
      <c r="C21" s="24" t="s">
        <v>7</v>
      </c>
      <c r="D21" s="31">
        <f t="shared" si="2"/>
        <v>1808.5711846566921</v>
      </c>
      <c r="E21" s="32">
        <f t="shared" si="2"/>
        <v>7504.7042966593308</v>
      </c>
      <c r="F21" s="33">
        <f t="shared" si="2"/>
        <v>11.254049140364071</v>
      </c>
      <c r="G21" s="301"/>
      <c r="H21" s="300"/>
      <c r="J21" s="24" t="s">
        <v>7</v>
      </c>
      <c r="K21" s="31">
        <f t="shared" si="3"/>
        <v>2363.104788717299</v>
      </c>
      <c r="L21" s="32">
        <f t="shared" si="3"/>
        <v>9570.5553215819546</v>
      </c>
      <c r="M21" s="33">
        <f t="shared" si="3"/>
        <v>11.277129578789783</v>
      </c>
      <c r="N21" s="301"/>
      <c r="O21" s="300"/>
    </row>
    <row r="22" spans="1:15">
      <c r="C22" s="24" t="s">
        <v>8</v>
      </c>
      <c r="D22" s="31">
        <f t="shared" si="2"/>
        <v>2140.6366660443327</v>
      </c>
      <c r="E22" s="32">
        <f t="shared" si="2"/>
        <v>7769.5861772271601</v>
      </c>
      <c r="F22" s="33">
        <f t="shared" si="2"/>
        <v>16.349557172528254</v>
      </c>
      <c r="G22" s="301"/>
      <c r="H22" s="300"/>
      <c r="J22" s="24" t="s">
        <v>8</v>
      </c>
      <c r="K22" s="31">
        <f t="shared" si="3"/>
        <v>2566.5090999138843</v>
      </c>
      <c r="L22" s="32">
        <f t="shared" si="3"/>
        <v>9028.3766767075849</v>
      </c>
      <c r="M22" s="33">
        <f t="shared" si="3"/>
        <v>15.481164417569614</v>
      </c>
      <c r="N22" s="301"/>
      <c r="O22" s="300"/>
    </row>
    <row r="23" spans="1:15" ht="13.5" thickBot="1">
      <c r="C23" s="24" t="s">
        <v>6</v>
      </c>
      <c r="D23" s="34">
        <f t="shared" si="2"/>
        <v>4287.0589560616627</v>
      </c>
      <c r="E23" s="35">
        <f t="shared" si="2"/>
        <v>11936.147381257493</v>
      </c>
      <c r="F23" s="36">
        <f t="shared" si="2"/>
        <v>30.81106670464851</v>
      </c>
      <c r="G23" s="301"/>
      <c r="H23" s="300"/>
      <c r="J23" s="24" t="s">
        <v>6</v>
      </c>
      <c r="K23" s="34">
        <f t="shared" si="3"/>
        <v>5895.6932718943881</v>
      </c>
      <c r="L23" s="35">
        <f t="shared" si="3"/>
        <v>14975.862565650823</v>
      </c>
      <c r="M23" s="36">
        <f t="shared" si="3"/>
        <v>33.448204057174948</v>
      </c>
      <c r="N23" s="301"/>
      <c r="O23" s="300"/>
    </row>
    <row r="24" spans="1:15" ht="13.5" thickBot="1"/>
    <row r="25" spans="1:15" s="42" customFormat="1">
      <c r="A25" s="86" t="s">
        <v>255</v>
      </c>
      <c r="D25" s="43" t="s">
        <v>128</v>
      </c>
      <c r="E25" s="43" t="s">
        <v>129</v>
      </c>
      <c r="F25" s="43" t="s">
        <v>130</v>
      </c>
      <c r="H25" s="86"/>
      <c r="K25" s="43" t="s">
        <v>128</v>
      </c>
      <c r="L25" s="43" t="s">
        <v>129</v>
      </c>
      <c r="M25" s="43" t="s">
        <v>130</v>
      </c>
    </row>
    <row r="26" spans="1:15" ht="5.25" customHeight="1" thickBot="1"/>
    <row r="27" spans="1:15" ht="12.75" customHeight="1">
      <c r="C27" s="24" t="s">
        <v>9</v>
      </c>
      <c r="D27" s="208">
        <v>8.2209473679999991</v>
      </c>
      <c r="E27" s="209">
        <v>1.477783012</v>
      </c>
      <c r="F27" s="210">
        <v>1744.505052</v>
      </c>
      <c r="G27" s="305" t="str">
        <f>"EOS pounds removed per '"&amp;E3&amp;"' of practice per year"</f>
        <v>EOS pounds removed per 'acre' of practice per year</v>
      </c>
      <c r="H27" s="300"/>
      <c r="J27" s="24" t="s">
        <v>9</v>
      </c>
      <c r="K27" s="208">
        <v>5.9579513009999996</v>
      </c>
      <c r="L27" s="209">
        <v>1.198303855</v>
      </c>
      <c r="M27" s="210">
        <v>1854.107264</v>
      </c>
      <c r="N27" s="305" t="str">
        <f>"delivered pounds removed per '"&amp;E3&amp;"' of practice per year"</f>
        <v>delivered pounds removed per 'acre' of practice per year</v>
      </c>
      <c r="O27" s="307"/>
    </row>
    <row r="28" spans="1:15">
      <c r="C28" s="24" t="s">
        <v>7</v>
      </c>
      <c r="D28" s="211">
        <v>4.8019121800000004</v>
      </c>
      <c r="E28" s="212">
        <v>1.157220812</v>
      </c>
      <c r="F28" s="213">
        <v>771.68669620000003</v>
      </c>
      <c r="G28" s="301"/>
      <c r="H28" s="300"/>
      <c r="J28" s="24" t="s">
        <v>7</v>
      </c>
      <c r="K28" s="211">
        <v>3.675080361</v>
      </c>
      <c r="L28" s="212">
        <v>0.90742905799999996</v>
      </c>
      <c r="M28" s="213">
        <v>770.10731669999996</v>
      </c>
      <c r="N28" s="305"/>
      <c r="O28" s="307"/>
    </row>
    <row r="29" spans="1:15">
      <c r="C29" s="24" t="s">
        <v>8</v>
      </c>
      <c r="D29" s="211">
        <v>4.0570173059999997</v>
      </c>
      <c r="E29" s="212">
        <v>1.1177686689999999</v>
      </c>
      <c r="F29" s="213">
        <v>531.1825824</v>
      </c>
      <c r="G29" s="301"/>
      <c r="H29" s="300"/>
      <c r="J29" s="24" t="s">
        <v>8</v>
      </c>
      <c r="K29" s="211">
        <v>3.383818121</v>
      </c>
      <c r="L29" s="212">
        <v>0.96192264800000005</v>
      </c>
      <c r="M29" s="213">
        <v>560.97847460000003</v>
      </c>
      <c r="N29" s="305"/>
      <c r="O29" s="307"/>
    </row>
    <row r="30" spans="1:15" ht="13.5" thickBot="1">
      <c r="C30" s="24" t="s">
        <v>6</v>
      </c>
      <c r="D30" s="214">
        <v>2.0257710680000001</v>
      </c>
      <c r="E30" s="215">
        <v>0.72758820099999999</v>
      </c>
      <c r="F30" s="216">
        <v>281.86625550000002</v>
      </c>
      <c r="G30" s="301"/>
      <c r="H30" s="300"/>
      <c r="J30" s="24" t="s">
        <v>6</v>
      </c>
      <c r="K30" s="214">
        <v>1.473041354</v>
      </c>
      <c r="L30" s="215">
        <v>0.57990649699999997</v>
      </c>
      <c r="M30" s="216">
        <v>259.64323780000001</v>
      </c>
      <c r="N30" s="305"/>
      <c r="O30" s="307"/>
    </row>
    <row r="31" spans="1:15" ht="13.5" thickBot="1"/>
    <row r="32" spans="1:15" s="42" customFormat="1">
      <c r="A32" s="86" t="s">
        <v>1</v>
      </c>
    </row>
    <row r="33" spans="1:12" ht="5.25" customHeight="1" thickBot="1"/>
    <row r="34" spans="1:12" ht="13.5" thickBot="1">
      <c r="C34" s="24" t="s">
        <v>11</v>
      </c>
      <c r="D34" s="46">
        <f>-PMT(D39,D38,D36)+D37</f>
        <v>8684.6</v>
      </c>
      <c r="E34" s="18" t="str">
        <f>"$ per '"&amp;E3&amp;"' of practice per year"</f>
        <v>$ per 'acre' of practice per year</v>
      </c>
      <c r="I34" s="82" t="s">
        <v>169</v>
      </c>
      <c r="J34" s="217" t="s">
        <v>160</v>
      </c>
      <c r="K34" s="218" t="s">
        <v>233</v>
      </c>
      <c r="L34" s="219" t="s">
        <v>165</v>
      </c>
    </row>
    <row r="35" spans="1:12" ht="5.25" customHeight="1" thickBot="1">
      <c r="C35" s="24"/>
      <c r="D35" s="47"/>
      <c r="E35" s="18"/>
      <c r="I35" s="78"/>
      <c r="J35" s="220"/>
      <c r="K35" s="220"/>
      <c r="L35" s="221"/>
    </row>
    <row r="36" spans="1:12">
      <c r="C36" s="24" t="s">
        <v>10</v>
      </c>
      <c r="D36" s="38">
        <f>L36</f>
        <v>123622</v>
      </c>
      <c r="E36" s="18" t="str">
        <f>"$ per '"&amp;E3&amp;"' of practice"</f>
        <v>$ per 'acre' of practice</v>
      </c>
      <c r="I36" s="78" t="s">
        <v>162</v>
      </c>
      <c r="J36" s="236">
        <v>100994</v>
      </c>
      <c r="K36" s="236">
        <v>146250</v>
      </c>
      <c r="L36" s="241">
        <f>AVERAGE(J36:K36)</f>
        <v>123622</v>
      </c>
    </row>
    <row r="37" spans="1:12">
      <c r="C37" s="24" t="s">
        <v>12</v>
      </c>
      <c r="D37" s="39">
        <f>L37</f>
        <v>2503.5</v>
      </c>
      <c r="E37" s="18" t="str">
        <f>"$ per '"&amp;E3&amp;"' of practice per year"</f>
        <v>$ per 'acre' of practice per year</v>
      </c>
      <c r="I37" s="78" t="s">
        <v>161</v>
      </c>
      <c r="J37" s="236">
        <v>4122</v>
      </c>
      <c r="K37" s="236">
        <v>885</v>
      </c>
      <c r="L37" s="241">
        <f>AVERAGE(J37:K37)</f>
        <v>2503.5</v>
      </c>
    </row>
    <row r="38" spans="1:12">
      <c r="C38" s="24" t="s">
        <v>13</v>
      </c>
      <c r="D38" s="40">
        <f>L38</f>
        <v>20</v>
      </c>
      <c r="E38" s="18" t="s">
        <v>15</v>
      </c>
      <c r="I38" s="78" t="s">
        <v>163</v>
      </c>
      <c r="J38" s="245">
        <v>20</v>
      </c>
      <c r="K38" s="245">
        <v>20</v>
      </c>
      <c r="L38" s="247">
        <v>20</v>
      </c>
    </row>
    <row r="39" spans="1:12" ht="13.5" thickBot="1">
      <c r="C39" s="24" t="s">
        <v>14</v>
      </c>
      <c r="D39" s="41">
        <f>Summary!C35</f>
        <v>0</v>
      </c>
      <c r="E39" s="18" t="s">
        <v>16</v>
      </c>
      <c r="I39" s="80" t="s">
        <v>166</v>
      </c>
      <c r="J39" s="239">
        <f>J37+(J36/J38)</f>
        <v>9171.7000000000007</v>
      </c>
      <c r="K39" s="239">
        <f>K37+(K36/K38)</f>
        <v>8197.5</v>
      </c>
      <c r="L39" s="242">
        <f>L37+(L36/L38)</f>
        <v>8684.6</v>
      </c>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A1:B1"/>
    <mergeCell ref="I41:L45"/>
    <mergeCell ref="G27:H30"/>
    <mergeCell ref="N27:O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65.xml><?xml version="1.0" encoding="utf-8"?>
<worksheet xmlns="http://schemas.openxmlformats.org/spreadsheetml/2006/main" xmlns:r="http://schemas.openxmlformats.org/officeDocument/2006/relationships">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1" style="17" bestFit="1" customWidth="1"/>
    <col min="13" max="16384" width="9.140625" style="17"/>
  </cols>
  <sheetData>
    <row r="1" spans="1:19" s="20" customFormat="1" ht="21" customHeight="1">
      <c r="A1" s="302" t="s">
        <v>136</v>
      </c>
      <c r="B1" s="303"/>
      <c r="D1" s="25" t="s">
        <v>134</v>
      </c>
      <c r="E1" s="89" t="str">
        <f>VLOOKUP($K$1,'BMP info'!A:G,3,FALSE)</f>
        <v>Urban Infiltration Practices - no sand\veg no under drain</v>
      </c>
      <c r="I1" s="22"/>
      <c r="J1" s="37" t="s">
        <v>135</v>
      </c>
      <c r="K1" s="50">
        <v>50</v>
      </c>
      <c r="L1" s="22"/>
      <c r="M1" s="22"/>
      <c r="N1" s="22"/>
      <c r="O1" s="22"/>
      <c r="P1" s="22"/>
      <c r="Q1" s="22"/>
      <c r="R1" s="22"/>
    </row>
    <row r="2" spans="1:19" s="20" customFormat="1" ht="12.75" customHeight="1">
      <c r="D2" s="48" t="s">
        <v>3</v>
      </c>
      <c r="E2" s="19" t="str">
        <f>VLOOKUP($K$1,'BMP info'!A:G,4,FALSE)</f>
        <v>Infiltration</v>
      </c>
      <c r="I2" s="23"/>
      <c r="L2" s="23"/>
      <c r="M2" s="23"/>
      <c r="N2" s="23"/>
      <c r="O2" s="23"/>
      <c r="P2" s="23"/>
      <c r="Q2" s="23"/>
      <c r="R2" s="23"/>
      <c r="S2" s="23"/>
    </row>
    <row r="3" spans="1:19" s="20" customFormat="1" ht="12.75" customHeight="1">
      <c r="D3" s="48" t="s">
        <v>79</v>
      </c>
      <c r="E3" s="19" t="str">
        <f>VLOOKUP($K$1,'BMP info'!A:G,5,FALSE)</f>
        <v>acre treated</v>
      </c>
      <c r="I3" s="23"/>
      <c r="K3" s="49"/>
      <c r="L3" s="23"/>
      <c r="M3" s="23"/>
      <c r="N3" s="23"/>
      <c r="O3" s="23"/>
      <c r="P3" s="23"/>
      <c r="Q3" s="23"/>
      <c r="R3" s="23"/>
      <c r="S3" s="23"/>
    </row>
    <row r="4" spans="1:19" s="20" customFormat="1" ht="12.75" customHeight="1">
      <c r="D4" s="48" t="s">
        <v>170</v>
      </c>
      <c r="E4" s="19" t="str">
        <f>VLOOKUP($K$1,'BMP info'!A:G,6,FALSE)</f>
        <v>efficiency treated</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43" t="s">
        <v>130</v>
      </c>
      <c r="K11" s="43" t="s">
        <v>128</v>
      </c>
      <c r="L11" s="43" t="s">
        <v>129</v>
      </c>
      <c r="M11" s="43" t="s">
        <v>130</v>
      </c>
    </row>
    <row r="12" spans="1:19" ht="5.25" customHeight="1" thickBot="1"/>
    <row r="13" spans="1:19" ht="12.75" customHeight="1">
      <c r="C13" s="24" t="s">
        <v>9</v>
      </c>
      <c r="D13" s="28">
        <f t="shared" ref="D13:F15" si="0">IF(D27*$D$34=0,"-",1000*D27/$D$34)</f>
        <v>13.696256211319399</v>
      </c>
      <c r="E13" s="29">
        <f t="shared" si="0"/>
        <v>0.89759129697730722</v>
      </c>
      <c r="F13" s="30">
        <f t="shared" si="0"/>
        <v>486.64015472239657</v>
      </c>
      <c r="G13" s="305" t="s">
        <v>254</v>
      </c>
      <c r="H13" s="300"/>
      <c r="J13" s="24" t="s">
        <v>9</v>
      </c>
      <c r="K13" s="28">
        <f t="shared" ref="K13:M16" si="1">IF(K27*$D$34=0,"-",1000*K27/$D$34)</f>
        <v>6.7236380509462732</v>
      </c>
      <c r="L13" s="29">
        <f t="shared" si="1"/>
        <v>0.86081198762220823</v>
      </c>
      <c r="M13" s="30">
        <f t="shared" si="1"/>
        <v>472.67508144228185</v>
      </c>
      <c r="N13" s="305" t="s">
        <v>133</v>
      </c>
      <c r="O13" s="300"/>
    </row>
    <row r="14" spans="1:19">
      <c r="C14" s="24" t="s">
        <v>7</v>
      </c>
      <c r="D14" s="31">
        <f t="shared" si="0"/>
        <v>6.5708656013992286</v>
      </c>
      <c r="E14" s="32">
        <f t="shared" si="0"/>
        <v>0.5645647322629832</v>
      </c>
      <c r="F14" s="33">
        <f t="shared" si="0"/>
        <v>219.64391075432775</v>
      </c>
      <c r="G14" s="301"/>
      <c r="H14" s="300"/>
      <c r="J14" s="24" t="s">
        <v>7</v>
      </c>
      <c r="K14" s="31">
        <f t="shared" si="1"/>
        <v>4.7816396815857924</v>
      </c>
      <c r="L14" s="32">
        <f t="shared" si="1"/>
        <v>0.46676756749484261</v>
      </c>
      <c r="M14" s="33">
        <f t="shared" si="1"/>
        <v>221.74914727778273</v>
      </c>
      <c r="N14" s="301"/>
      <c r="O14" s="300"/>
    </row>
    <row r="15" spans="1:19">
      <c r="C15" s="24" t="s">
        <v>8</v>
      </c>
      <c r="D15" s="31">
        <f t="shared" si="0"/>
        <v>5.5674267754955595</v>
      </c>
      <c r="E15" s="32">
        <f t="shared" si="0"/>
        <v>0.44892362454031742</v>
      </c>
      <c r="F15" s="33">
        <f t="shared" si="0"/>
        <v>124.73058830388375</v>
      </c>
      <c r="G15" s="301"/>
      <c r="H15" s="300"/>
      <c r="J15" s="24" t="s">
        <v>8</v>
      </c>
      <c r="K15" s="31">
        <f t="shared" si="1"/>
        <v>5.0951908440218849</v>
      </c>
      <c r="L15" s="32">
        <f t="shared" si="1"/>
        <v>0.40785323257691264</v>
      </c>
      <c r="M15" s="33">
        <f t="shared" si="1"/>
        <v>157.12871163333034</v>
      </c>
      <c r="N15" s="301"/>
      <c r="O15" s="300"/>
    </row>
    <row r="16" spans="1:19" ht="13.5" thickBot="1">
      <c r="C16" s="24" t="s">
        <v>6</v>
      </c>
      <c r="D16" s="34">
        <f>IF(E30*$D$34=0,"-",1000*E30/$D$34)</f>
        <v>0.33838833796753071</v>
      </c>
      <c r="E16" s="35">
        <f>IF(E30*$D$34=0,"-",1000*E30/$D$34)</f>
        <v>0.33838833796753071</v>
      </c>
      <c r="F16" s="36">
        <f>IF(F30*$D$34=0,"-",1000*F30/$D$34)</f>
        <v>19.998931195622923</v>
      </c>
      <c r="G16" s="301"/>
      <c r="H16" s="300"/>
      <c r="J16" s="24" t="s">
        <v>6</v>
      </c>
      <c r="K16" s="34">
        <f t="shared" si="1"/>
        <v>2.6176600780339041</v>
      </c>
      <c r="L16" s="35">
        <f t="shared" si="1"/>
        <v>0.25209693604807604</v>
      </c>
      <c r="M16" s="36">
        <f t="shared" si="1"/>
        <v>19.317493443358146</v>
      </c>
      <c r="N16" s="301"/>
      <c r="O16" s="300"/>
    </row>
    <row r="17" spans="1:15" ht="5.25" customHeight="1" thickBot="1"/>
    <row r="18" spans="1:15" s="42" customFormat="1">
      <c r="A18" s="86" t="s">
        <v>252</v>
      </c>
      <c r="D18" s="43" t="s">
        <v>128</v>
      </c>
      <c r="E18" s="43" t="s">
        <v>129</v>
      </c>
      <c r="F18" s="43" t="s">
        <v>130</v>
      </c>
      <c r="K18" s="43" t="s">
        <v>128</v>
      </c>
      <c r="L18" s="43" t="s">
        <v>129</v>
      </c>
      <c r="M18" s="43" t="s">
        <v>130</v>
      </c>
    </row>
    <row r="19" spans="1:15" ht="5.25" customHeight="1" thickBot="1"/>
    <row r="20" spans="1:15" ht="12.75" customHeight="1">
      <c r="C20" s="24" t="s">
        <v>9</v>
      </c>
      <c r="D20" s="28">
        <f t="shared" ref="D20:F23" si="2">IF(D27=0,"-",$D$34/D27)</f>
        <v>73.012652842573189</v>
      </c>
      <c r="E20" s="29">
        <f t="shared" si="2"/>
        <v>1114.09279854602</v>
      </c>
      <c r="F20" s="30">
        <f t="shared" si="2"/>
        <v>2.0549064648609794</v>
      </c>
      <c r="G20" s="305" t="s">
        <v>253</v>
      </c>
      <c r="H20" s="300"/>
      <c r="J20" s="24" t="s">
        <v>9</v>
      </c>
      <c r="K20" s="28">
        <f t="shared" ref="K20:M23" si="3">IF(K27=0,"-",$D$34/K27)</f>
        <v>148.7290054019582</v>
      </c>
      <c r="L20" s="29">
        <f t="shared" si="3"/>
        <v>1161.6938592621905</v>
      </c>
      <c r="M20" s="30">
        <f t="shared" si="3"/>
        <v>2.1156181894520065</v>
      </c>
      <c r="N20" s="305" t="s">
        <v>132</v>
      </c>
      <c r="O20" s="300"/>
    </row>
    <row r="21" spans="1:15">
      <c r="C21" s="24" t="s">
        <v>7</v>
      </c>
      <c r="D21" s="31">
        <f t="shared" si="2"/>
        <v>152.18695080098058</v>
      </c>
      <c r="E21" s="32">
        <f t="shared" si="2"/>
        <v>1771.276069604334</v>
      </c>
      <c r="F21" s="33">
        <f t="shared" si="2"/>
        <v>4.5528236888775053</v>
      </c>
      <c r="G21" s="301"/>
      <c r="H21" s="300"/>
      <c r="J21" s="24" t="s">
        <v>7</v>
      </c>
      <c r="K21" s="31">
        <f t="shared" si="3"/>
        <v>209.13328201014889</v>
      </c>
      <c r="L21" s="32">
        <f t="shared" si="3"/>
        <v>2142.3939228833615</v>
      </c>
      <c r="M21" s="33">
        <f t="shared" si="3"/>
        <v>4.5096002048986952</v>
      </c>
      <c r="N21" s="301"/>
      <c r="O21" s="300"/>
    </row>
    <row r="22" spans="1:15">
      <c r="C22" s="24" t="s">
        <v>8</v>
      </c>
      <c r="D22" s="31">
        <f t="shared" si="2"/>
        <v>179.61619260111229</v>
      </c>
      <c r="E22" s="32">
        <f t="shared" si="2"/>
        <v>2227.5504013048235</v>
      </c>
      <c r="F22" s="33">
        <f t="shared" si="2"/>
        <v>8.0172795911431045</v>
      </c>
      <c r="G22" s="301"/>
      <c r="H22" s="300"/>
      <c r="J22" s="24" t="s">
        <v>8</v>
      </c>
      <c r="K22" s="31">
        <f t="shared" si="3"/>
        <v>196.2635023128301</v>
      </c>
      <c r="L22" s="32">
        <f t="shared" si="3"/>
        <v>2451.8623860886541</v>
      </c>
      <c r="M22" s="33">
        <f t="shared" si="3"/>
        <v>6.3642092498891127</v>
      </c>
      <c r="N22" s="301"/>
      <c r="O22" s="300"/>
    </row>
    <row r="23" spans="1:15" ht="13.5" thickBot="1">
      <c r="C23" s="24" t="s">
        <v>6</v>
      </c>
      <c r="D23" s="34">
        <f t="shared" si="2"/>
        <v>273.41212959244672</v>
      </c>
      <c r="E23" s="35">
        <f t="shared" si="2"/>
        <v>2955.1845846884735</v>
      </c>
      <c r="F23" s="36">
        <f t="shared" si="2"/>
        <v>50.00267215374317</v>
      </c>
      <c r="G23" s="301"/>
      <c r="H23" s="300"/>
      <c r="J23" s="24" t="s">
        <v>6</v>
      </c>
      <c r="K23" s="34">
        <f t="shared" si="3"/>
        <v>382.02057188078032</v>
      </c>
      <c r="L23" s="35">
        <f t="shared" si="3"/>
        <v>3966.7280994216262</v>
      </c>
      <c r="M23" s="36">
        <f t="shared" si="3"/>
        <v>51.766550506780462</v>
      </c>
      <c r="N23" s="301"/>
      <c r="O23" s="300"/>
    </row>
    <row r="24" spans="1:15" ht="13.5" thickBot="1"/>
    <row r="25" spans="1:15" s="42" customFormat="1">
      <c r="A25" s="86" t="s">
        <v>255</v>
      </c>
      <c r="D25" s="43" t="s">
        <v>128</v>
      </c>
      <c r="E25" s="43" t="s">
        <v>129</v>
      </c>
      <c r="F25" s="43" t="s">
        <v>130</v>
      </c>
      <c r="H25" s="86"/>
      <c r="K25" s="43" t="s">
        <v>128</v>
      </c>
      <c r="L25" s="43" t="s">
        <v>129</v>
      </c>
      <c r="M25" s="43" t="s">
        <v>130</v>
      </c>
    </row>
    <row r="26" spans="1:15" ht="5.25" customHeight="1" thickBot="1"/>
    <row r="27" spans="1:15" ht="12.75" customHeight="1">
      <c r="C27" s="24" t="s">
        <v>9</v>
      </c>
      <c r="D27" s="208">
        <v>15.269956049999999</v>
      </c>
      <c r="E27" s="209">
        <v>1.000724537</v>
      </c>
      <c r="F27" s="210">
        <v>542.55510849999996</v>
      </c>
      <c r="G27" s="305" t="str">
        <f>"EOS pounds removed per '"&amp;E3&amp;"' of practice per year"</f>
        <v>EOS pounds removed per 'acre treated' of practice per year</v>
      </c>
      <c r="H27" s="300"/>
      <c r="J27" s="24" t="s">
        <v>9</v>
      </c>
      <c r="K27" s="208">
        <v>7.4961840630000003</v>
      </c>
      <c r="L27" s="209">
        <v>0.95971928500000003</v>
      </c>
      <c r="M27" s="210">
        <v>526.98544830000003</v>
      </c>
      <c r="N27" s="305" t="str">
        <f>"delivered pounds removed per '"&amp;E3&amp;"' of practice per year"</f>
        <v>delivered pounds removed per 'acre treated' of practice per year</v>
      </c>
      <c r="O27" s="307"/>
    </row>
    <row r="28" spans="1:15">
      <c r="C28" s="24" t="s">
        <v>7</v>
      </c>
      <c r="D28" s="211">
        <v>7.3258580589999998</v>
      </c>
      <c r="E28" s="212">
        <v>0.62943322000000002</v>
      </c>
      <c r="F28" s="213">
        <v>244.8809961</v>
      </c>
      <c r="G28" s="301"/>
      <c r="H28" s="300"/>
      <c r="J28" s="24" t="s">
        <v>7</v>
      </c>
      <c r="K28" s="211">
        <v>5.3310500809999999</v>
      </c>
      <c r="L28" s="212">
        <v>0.52039916100000005</v>
      </c>
      <c r="M28" s="213">
        <v>247.22812429999999</v>
      </c>
      <c r="N28" s="305"/>
      <c r="O28" s="307"/>
    </row>
    <row r="29" spans="1:15">
      <c r="C29" s="24" t="s">
        <v>8</v>
      </c>
      <c r="D29" s="211">
        <v>6.2071241119999998</v>
      </c>
      <c r="E29" s="212">
        <v>0.50050494899999998</v>
      </c>
      <c r="F29" s="213">
        <v>139.06213289999999</v>
      </c>
      <c r="G29" s="301"/>
      <c r="H29" s="300"/>
      <c r="J29" s="24" t="s">
        <v>8</v>
      </c>
      <c r="K29" s="211">
        <v>5.6806282719999999</v>
      </c>
      <c r="L29" s="212">
        <v>0.45471556899999999</v>
      </c>
      <c r="M29" s="213">
        <v>175.18280060000001</v>
      </c>
      <c r="N29" s="305"/>
      <c r="O29" s="307"/>
    </row>
    <row r="30" spans="1:15" ht="13.5" thickBot="1">
      <c r="C30" s="24" t="s">
        <v>6</v>
      </c>
      <c r="D30" s="214">
        <v>4.0777269159999996</v>
      </c>
      <c r="E30" s="215">
        <v>0.37726915799999999</v>
      </c>
      <c r="F30" s="216">
        <v>22.296808389999999</v>
      </c>
      <c r="G30" s="301"/>
      <c r="H30" s="300"/>
      <c r="J30" s="24" t="s">
        <v>6</v>
      </c>
      <c r="K30" s="214">
        <v>2.9184292209999998</v>
      </c>
      <c r="L30" s="215">
        <v>0.28106287400000002</v>
      </c>
      <c r="M30" s="216">
        <v>21.53707344</v>
      </c>
      <c r="N30" s="305"/>
      <c r="O30" s="307"/>
    </row>
    <row r="31" spans="1:15" ht="13.5" thickBot="1"/>
    <row r="32" spans="1:15" s="42" customFormat="1">
      <c r="A32" s="86" t="s">
        <v>1</v>
      </c>
    </row>
    <row r="33" spans="1:12" ht="5.25" customHeight="1" thickBot="1"/>
    <row r="34" spans="1:12" ht="13.5" thickBot="1">
      <c r="C34" s="24" t="s">
        <v>11</v>
      </c>
      <c r="D34" s="46">
        <f>-PMT(D39,D38,D36)+D37</f>
        <v>1114.9000000000001</v>
      </c>
      <c r="E34" s="18" t="str">
        <f>"$ per '"&amp;E3&amp;"' of practice per year"</f>
        <v>$ per 'acre treated' of practice per year</v>
      </c>
      <c r="I34" s="82" t="s">
        <v>169</v>
      </c>
      <c r="J34" s="217" t="s">
        <v>160</v>
      </c>
      <c r="K34" s="218" t="s">
        <v>233</v>
      </c>
      <c r="L34" s="219" t="s">
        <v>165</v>
      </c>
    </row>
    <row r="35" spans="1:12" ht="5.25" customHeight="1" thickBot="1">
      <c r="C35" s="24"/>
      <c r="D35" s="47"/>
      <c r="E35" s="18"/>
      <c r="I35" s="78"/>
      <c r="J35" s="220"/>
      <c r="K35" s="220"/>
      <c r="L35" s="221"/>
    </row>
    <row r="36" spans="1:12">
      <c r="C36" s="24" t="s">
        <v>10</v>
      </c>
      <c r="D36" s="38">
        <f>L36</f>
        <v>14648</v>
      </c>
      <c r="E36" s="18" t="str">
        <f>"$ per '"&amp;E3&amp;"' of practice"</f>
        <v>$ per 'acre treated' of practice</v>
      </c>
      <c r="I36" s="78" t="s">
        <v>162</v>
      </c>
      <c r="J36" s="236">
        <v>13433</v>
      </c>
      <c r="K36" s="236">
        <v>15863</v>
      </c>
      <c r="L36" s="241">
        <f>AVERAGE(J36:K36)</f>
        <v>14648</v>
      </c>
    </row>
    <row r="37" spans="1:12">
      <c r="C37" s="24" t="s">
        <v>12</v>
      </c>
      <c r="D37" s="39">
        <f>L37</f>
        <v>382.5</v>
      </c>
      <c r="E37" s="18" t="str">
        <f>"$ per '"&amp;E3&amp;"' of practice per year"</f>
        <v>$ per 'acre treated' of practice per year</v>
      </c>
      <c r="I37" s="78" t="s">
        <v>161</v>
      </c>
      <c r="J37" s="236">
        <v>548</v>
      </c>
      <c r="K37" s="236">
        <v>217</v>
      </c>
      <c r="L37" s="241">
        <f>AVERAGE(J37:K37)</f>
        <v>382.5</v>
      </c>
    </row>
    <row r="38" spans="1:12">
      <c r="C38" s="24" t="s">
        <v>13</v>
      </c>
      <c r="D38" s="40">
        <f>L38</f>
        <v>20</v>
      </c>
      <c r="E38" s="18" t="s">
        <v>15</v>
      </c>
      <c r="I38" s="78" t="s">
        <v>163</v>
      </c>
      <c r="J38" s="245">
        <v>20</v>
      </c>
      <c r="K38" s="245">
        <v>20</v>
      </c>
      <c r="L38" s="247">
        <v>20</v>
      </c>
    </row>
    <row r="39" spans="1:12" ht="13.5" thickBot="1">
      <c r="C39" s="24" t="s">
        <v>14</v>
      </c>
      <c r="D39" s="41">
        <f>Summary!C35</f>
        <v>0</v>
      </c>
      <c r="E39" s="18" t="s">
        <v>16</v>
      </c>
      <c r="I39" s="80" t="s">
        <v>166</v>
      </c>
      <c r="J39" s="239">
        <f>J37+(J36/J38)</f>
        <v>1219.6500000000001</v>
      </c>
      <c r="K39" s="239">
        <f>K37+(K36/K38)</f>
        <v>1010.15</v>
      </c>
      <c r="L39" s="242">
        <f>L37+(L36/L38)</f>
        <v>1114.9000000000001</v>
      </c>
    </row>
    <row r="40" spans="1:12">
      <c r="F40" s="234"/>
    </row>
    <row r="41" spans="1:12" ht="12.75" customHeight="1">
      <c r="I41" s="304" t="s">
        <v>279</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A1:B1"/>
    <mergeCell ref="I41:L45"/>
    <mergeCell ref="G27:H30"/>
    <mergeCell ref="N27:O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66.xml><?xml version="1.0" encoding="utf-8"?>
<worksheet xmlns="http://schemas.openxmlformats.org/spreadsheetml/2006/main" xmlns:r="http://schemas.openxmlformats.org/officeDocument/2006/relationships">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1" style="17" bestFit="1" customWidth="1"/>
    <col min="13" max="16384" width="9.140625" style="17"/>
  </cols>
  <sheetData>
    <row r="1" spans="1:19" s="20" customFormat="1" ht="21" customHeight="1">
      <c r="A1" s="302" t="s">
        <v>136</v>
      </c>
      <c r="B1" s="303"/>
      <c r="D1" s="25" t="s">
        <v>134</v>
      </c>
      <c r="E1" s="89" t="str">
        <f>VLOOKUP($K$1,'BMP info'!A:G,3,FALSE)</f>
        <v>Urban Infiltration Practices - with sandveg no under drain</v>
      </c>
      <c r="I1" s="22"/>
      <c r="J1" s="37" t="s">
        <v>135</v>
      </c>
      <c r="K1" s="50">
        <v>51</v>
      </c>
      <c r="L1" s="22"/>
      <c r="M1" s="22"/>
      <c r="N1" s="22"/>
      <c r="O1" s="22"/>
      <c r="P1" s="22"/>
      <c r="Q1" s="22"/>
      <c r="R1" s="22"/>
    </row>
    <row r="2" spans="1:19" s="20" customFormat="1" ht="12.75" customHeight="1">
      <c r="D2" s="48" t="s">
        <v>3</v>
      </c>
      <c r="E2" s="19" t="str">
        <f>VLOOKUP($K$1,'BMP info'!A:G,4,FALSE)</f>
        <v>InfiltWithSV</v>
      </c>
      <c r="I2" s="23"/>
      <c r="L2" s="23"/>
      <c r="M2" s="23"/>
      <c r="N2" s="23"/>
      <c r="O2" s="23"/>
      <c r="P2" s="23"/>
      <c r="Q2" s="23"/>
      <c r="R2" s="23"/>
      <c r="S2" s="23"/>
    </row>
    <row r="3" spans="1:19" s="20" customFormat="1" ht="12.75" customHeight="1">
      <c r="D3" s="48" t="s">
        <v>79</v>
      </c>
      <c r="E3" s="19" t="str">
        <f>VLOOKUP($K$1,'BMP info'!A:G,5,FALSE)</f>
        <v>acre treated</v>
      </c>
      <c r="I3" s="23"/>
      <c r="K3" s="49"/>
      <c r="L3" s="23"/>
      <c r="M3" s="23"/>
      <c r="N3" s="23"/>
      <c r="O3" s="23"/>
      <c r="P3" s="23"/>
      <c r="Q3" s="23"/>
      <c r="R3" s="23"/>
      <c r="S3" s="23"/>
    </row>
    <row r="4" spans="1:19" s="20" customFormat="1" ht="12.75" customHeight="1">
      <c r="D4" s="48" t="s">
        <v>170</v>
      </c>
      <c r="E4" s="19" t="str">
        <f>VLOOKUP($K$1,'BMP info'!A:G,6,FALSE)</f>
        <v>efficiency treated</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43" t="s">
        <v>130</v>
      </c>
      <c r="K11" s="43" t="s">
        <v>128</v>
      </c>
      <c r="L11" s="43" t="s">
        <v>129</v>
      </c>
      <c r="M11" s="43" t="s">
        <v>130</v>
      </c>
    </row>
    <row r="12" spans="1:19" ht="5.25" customHeight="1" thickBot="1"/>
    <row r="13" spans="1:19" ht="12.75" customHeight="1">
      <c r="C13" s="24" t="s">
        <v>9</v>
      </c>
      <c r="D13" s="28">
        <f t="shared" ref="D13:F15" si="0">IF(D27*$D$34=0,"-",1000*D27/$D$34)</f>
        <v>14.268796122736065</v>
      </c>
      <c r="E13" s="29">
        <f t="shared" si="0"/>
        <v>0.77888520573237208</v>
      </c>
      <c r="F13" s="30">
        <f t="shared" si="0"/>
        <v>692.01886601019874</v>
      </c>
      <c r="G13" s="305" t="s">
        <v>254</v>
      </c>
      <c r="H13" s="300"/>
      <c r="J13" s="24" t="s">
        <v>9</v>
      </c>
      <c r="K13" s="28">
        <f t="shared" ref="K13:M16" si="1">IF(K27*$D$34=0,"-",1000*K27/$D$34)</f>
        <v>8.1125202452962899</v>
      </c>
      <c r="L13" s="29">
        <f t="shared" si="1"/>
        <v>0.51485822841568485</v>
      </c>
      <c r="M13" s="30">
        <f t="shared" si="1"/>
        <v>613.22167504835579</v>
      </c>
      <c r="N13" s="305" t="s">
        <v>133</v>
      </c>
      <c r="O13" s="300"/>
    </row>
    <row r="14" spans="1:19">
      <c r="C14" s="24" t="s">
        <v>7</v>
      </c>
      <c r="D14" s="31">
        <f t="shared" si="0"/>
        <v>8.8642593107086327</v>
      </c>
      <c r="E14" s="32">
        <f t="shared" si="0"/>
        <v>0.55595149815368383</v>
      </c>
      <c r="F14" s="33">
        <f t="shared" si="0"/>
        <v>307.47090091436604</v>
      </c>
      <c r="G14" s="301"/>
      <c r="H14" s="300"/>
      <c r="J14" s="24" t="s">
        <v>7</v>
      </c>
      <c r="K14" s="31">
        <f t="shared" si="1"/>
        <v>6.2053825813258303</v>
      </c>
      <c r="L14" s="32">
        <f t="shared" si="1"/>
        <v>0.4036130947775628</v>
      </c>
      <c r="M14" s="33">
        <f t="shared" si="1"/>
        <v>285.91039106734661</v>
      </c>
      <c r="N14" s="301"/>
      <c r="O14" s="300"/>
    </row>
    <row r="15" spans="1:19">
      <c r="C15" s="24" t="s">
        <v>8</v>
      </c>
      <c r="D15" s="31">
        <f t="shared" si="0"/>
        <v>6.8366440258484262</v>
      </c>
      <c r="E15" s="32">
        <f t="shared" si="0"/>
        <v>0.47496741339898008</v>
      </c>
      <c r="F15" s="33">
        <f t="shared" si="0"/>
        <v>214.61656198347106</v>
      </c>
      <c r="G15" s="301"/>
      <c r="H15" s="300"/>
      <c r="J15" s="24" t="s">
        <v>8</v>
      </c>
      <c r="K15" s="31">
        <f t="shared" si="1"/>
        <v>6.6125063187972568</v>
      </c>
      <c r="L15" s="32">
        <f t="shared" si="1"/>
        <v>0.41646229206963248</v>
      </c>
      <c r="M15" s="33">
        <f t="shared" si="1"/>
        <v>237.30969544575345</v>
      </c>
      <c r="N15" s="301"/>
      <c r="O15" s="300"/>
    </row>
    <row r="16" spans="1:19" ht="13.5" thickBot="1">
      <c r="C16" s="24" t="s">
        <v>6</v>
      </c>
      <c r="D16" s="34">
        <f>IF(E30*$D$34=0,"-",1000*E30/$D$34)</f>
        <v>0.40254914893617022</v>
      </c>
      <c r="E16" s="35">
        <f>IF(E30*$D$34=0,"-",1000*E30/$D$34)</f>
        <v>0.40254914893617022</v>
      </c>
      <c r="F16" s="36">
        <f>IF(F30*$D$34=0,"-",1000*F30/$D$34)</f>
        <v>140.40373606470899</v>
      </c>
      <c r="G16" s="301"/>
      <c r="H16" s="300"/>
      <c r="J16" s="24" t="s">
        <v>6</v>
      </c>
      <c r="K16" s="34">
        <f t="shared" si="1"/>
        <v>2.874187263935291</v>
      </c>
      <c r="L16" s="35">
        <f t="shared" si="1"/>
        <v>0.20156726657288551</v>
      </c>
      <c r="M16" s="36">
        <f t="shared" si="1"/>
        <v>83.569978406892915</v>
      </c>
      <c r="N16" s="301"/>
      <c r="O16" s="300"/>
    </row>
    <row r="17" spans="1:15" ht="5.25" customHeight="1" thickBot="1"/>
    <row r="18" spans="1:15" s="42" customFormat="1">
      <c r="A18" s="86" t="s">
        <v>252</v>
      </c>
      <c r="D18" s="43" t="s">
        <v>128</v>
      </c>
      <c r="E18" s="43" t="s">
        <v>129</v>
      </c>
      <c r="F18" s="43" t="s">
        <v>130</v>
      </c>
      <c r="K18" s="43" t="s">
        <v>128</v>
      </c>
      <c r="L18" s="43" t="s">
        <v>129</v>
      </c>
      <c r="M18" s="43" t="s">
        <v>130</v>
      </c>
    </row>
    <row r="19" spans="1:15" ht="5.25" customHeight="1" thickBot="1"/>
    <row r="20" spans="1:15" ht="12.75" customHeight="1">
      <c r="C20" s="24" t="s">
        <v>9</v>
      </c>
      <c r="D20" s="28">
        <f t="shared" ref="D20:F23" si="2">IF(D27=0,"-",$D$34/D27)</f>
        <v>70.082997289910708</v>
      </c>
      <c r="E20" s="29">
        <f t="shared" si="2"/>
        <v>1283.8862423374926</v>
      </c>
      <c r="F20" s="30">
        <f t="shared" si="2"/>
        <v>1.445047308847881</v>
      </c>
      <c r="G20" s="305" t="s">
        <v>253</v>
      </c>
      <c r="H20" s="300"/>
      <c r="J20" s="24" t="s">
        <v>9</v>
      </c>
      <c r="K20" s="28">
        <f t="shared" ref="K20:M23" si="3">IF(K27=0,"-",$D$34/K27)</f>
        <v>123.26625632519178</v>
      </c>
      <c r="L20" s="29">
        <f t="shared" si="3"/>
        <v>1942.2822532664713</v>
      </c>
      <c r="M20" s="30">
        <f t="shared" si="3"/>
        <v>1.6307316598376023</v>
      </c>
      <c r="N20" s="305" t="s">
        <v>132</v>
      </c>
      <c r="O20" s="300"/>
    </row>
    <row r="21" spans="1:15">
      <c r="C21" s="24" t="s">
        <v>7</v>
      </c>
      <c r="D21" s="31">
        <f t="shared" si="2"/>
        <v>112.81258421579922</v>
      </c>
      <c r="E21" s="32">
        <f t="shared" si="2"/>
        <v>1798.7180596167152</v>
      </c>
      <c r="F21" s="33">
        <f t="shared" si="2"/>
        <v>3.2523402931014624</v>
      </c>
      <c r="G21" s="301"/>
      <c r="H21" s="300"/>
      <c r="J21" s="24" t="s">
        <v>7</v>
      </c>
      <c r="K21" s="31">
        <f t="shared" si="3"/>
        <v>161.15041851075392</v>
      </c>
      <c r="L21" s="32">
        <f t="shared" si="3"/>
        <v>2477.6203075153317</v>
      </c>
      <c r="M21" s="33">
        <f t="shared" si="3"/>
        <v>3.4975993571512016</v>
      </c>
      <c r="N21" s="301"/>
      <c r="O21" s="300"/>
    </row>
    <row r="22" spans="1:15">
      <c r="C22" s="24" t="s">
        <v>8</v>
      </c>
      <c r="D22" s="31">
        <f t="shared" si="2"/>
        <v>146.27059654110047</v>
      </c>
      <c r="E22" s="32">
        <f t="shared" si="2"/>
        <v>2105.4075959522393</v>
      </c>
      <c r="F22" s="33">
        <f t="shared" si="2"/>
        <v>4.6594726462770195</v>
      </c>
      <c r="G22" s="301"/>
      <c r="H22" s="300"/>
      <c r="J22" s="24" t="s">
        <v>8</v>
      </c>
      <c r="K22" s="31">
        <f t="shared" si="3"/>
        <v>151.22858894778179</v>
      </c>
      <c r="L22" s="32">
        <f t="shared" si="3"/>
        <v>2401.1777753766</v>
      </c>
      <c r="M22" s="33">
        <f t="shared" si="3"/>
        <v>4.2139028416923221</v>
      </c>
      <c r="N22" s="301"/>
      <c r="O22" s="300"/>
    </row>
    <row r="23" spans="1:15" ht="13.5" thickBot="1">
      <c r="C23" s="24" t="s">
        <v>6</v>
      </c>
      <c r="D23" s="34">
        <f t="shared" si="2"/>
        <v>151.22858894778179</v>
      </c>
      <c r="E23" s="35">
        <f t="shared" si="2"/>
        <v>2484.1687099394762</v>
      </c>
      <c r="F23" s="36">
        <f t="shared" si="2"/>
        <v>7.1223175965853365</v>
      </c>
      <c r="G23" s="301"/>
      <c r="H23" s="300"/>
      <c r="J23" s="24" t="s">
        <v>6</v>
      </c>
      <c r="K23" s="34">
        <f t="shared" si="3"/>
        <v>347.92444199714953</v>
      </c>
      <c r="L23" s="35">
        <f t="shared" si="3"/>
        <v>4961.1229888777898</v>
      </c>
      <c r="M23" s="36">
        <f t="shared" si="3"/>
        <v>11.966019604924528</v>
      </c>
      <c r="N23" s="301"/>
      <c r="O23" s="300"/>
    </row>
    <row r="24" spans="1:15" ht="13.5" thickBot="1"/>
    <row r="25" spans="1:15" s="42" customFormat="1">
      <c r="A25" s="86" t="s">
        <v>255</v>
      </c>
      <c r="D25" s="43" t="s">
        <v>128</v>
      </c>
      <c r="E25" s="43" t="s">
        <v>129</v>
      </c>
      <c r="F25" s="43" t="s">
        <v>130</v>
      </c>
      <c r="H25" s="86"/>
      <c r="K25" s="43" t="s">
        <v>128</v>
      </c>
      <c r="L25" s="43" t="s">
        <v>129</v>
      </c>
      <c r="M25" s="43" t="s">
        <v>130</v>
      </c>
    </row>
    <row r="26" spans="1:15" ht="5.25" customHeight="1" thickBot="1"/>
    <row r="27" spans="1:15" ht="12.75" customHeight="1">
      <c r="C27" s="24" t="s">
        <v>9</v>
      </c>
      <c r="D27" s="208">
        <v>16.229328710000001</v>
      </c>
      <c r="E27" s="209">
        <v>0.88590403299999998</v>
      </c>
      <c r="F27" s="210">
        <v>787.10225820000005</v>
      </c>
      <c r="G27" s="305" t="str">
        <f>"EOS pounds removed per '"&amp;E3&amp;"' of practice per year"</f>
        <v>EOS pounds removed per 'acre treated' of practice per year</v>
      </c>
      <c r="H27" s="300"/>
      <c r="J27" s="24" t="s">
        <v>9</v>
      </c>
      <c r="K27" s="208">
        <v>9.2271805269999998</v>
      </c>
      <c r="L27" s="209">
        <v>0.585599749</v>
      </c>
      <c r="M27" s="210">
        <v>697.47833319999995</v>
      </c>
      <c r="N27" s="305" t="str">
        <f>"delivered pounds removed per '"&amp;E3&amp;"' of practice per year"</f>
        <v>delivered pounds removed per 'acre treated' of practice per year</v>
      </c>
      <c r="O27" s="307"/>
    </row>
    <row r="28" spans="1:15">
      <c r="C28" s="24" t="s">
        <v>7</v>
      </c>
      <c r="D28" s="211">
        <v>10.08220854</v>
      </c>
      <c r="E28" s="212">
        <v>0.63233923400000003</v>
      </c>
      <c r="F28" s="213">
        <v>349.71740269999998</v>
      </c>
      <c r="G28" s="301"/>
      <c r="H28" s="300"/>
      <c r="J28" s="24" t="s">
        <v>7</v>
      </c>
      <c r="K28" s="211">
        <v>7.0580021479999999</v>
      </c>
      <c r="L28" s="212">
        <v>0.459069534</v>
      </c>
      <c r="M28" s="213">
        <v>325.19447880000001</v>
      </c>
      <c r="N28" s="305"/>
      <c r="O28" s="307"/>
    </row>
    <row r="29" spans="1:15">
      <c r="C29" s="24" t="s">
        <v>8</v>
      </c>
      <c r="D29" s="211">
        <v>7.7759989149999997</v>
      </c>
      <c r="E29" s="212">
        <v>0.54022793599999996</v>
      </c>
      <c r="F29" s="213">
        <v>244.10487760000001</v>
      </c>
      <c r="G29" s="301"/>
      <c r="H29" s="300"/>
      <c r="J29" s="24" t="s">
        <v>8</v>
      </c>
      <c r="K29" s="211">
        <v>7.521064687</v>
      </c>
      <c r="L29" s="212">
        <v>0.47368421100000002</v>
      </c>
      <c r="M29" s="213">
        <v>269.91604760000001</v>
      </c>
      <c r="N29" s="305"/>
      <c r="O29" s="307"/>
    </row>
    <row r="30" spans="1:15" ht="13.5" thickBot="1">
      <c r="C30" s="24" t="s">
        <v>6</v>
      </c>
      <c r="D30" s="214">
        <v>7.521064687</v>
      </c>
      <c r="E30" s="215">
        <v>0.45785940200000003</v>
      </c>
      <c r="F30" s="216">
        <v>159.69520940000001</v>
      </c>
      <c r="G30" s="301"/>
      <c r="H30" s="300"/>
      <c r="J30" s="24" t="s">
        <v>6</v>
      </c>
      <c r="K30" s="214">
        <v>3.2691005940000002</v>
      </c>
      <c r="L30" s="215">
        <v>0.22926260900000001</v>
      </c>
      <c r="M30" s="216">
        <v>95.052493440000006</v>
      </c>
      <c r="N30" s="305"/>
      <c r="O30" s="307"/>
    </row>
    <row r="31" spans="1:15" ht="13.5" thickBot="1"/>
    <row r="32" spans="1:15" s="42" customFormat="1">
      <c r="A32" s="86" t="s">
        <v>1</v>
      </c>
    </row>
    <row r="33" spans="1:12" ht="5.25" customHeight="1" thickBot="1"/>
    <row r="34" spans="1:12" ht="13.5" thickBot="1">
      <c r="C34" s="24" t="s">
        <v>11</v>
      </c>
      <c r="D34" s="46">
        <f>-PMT(D39,D38,D36)+D37</f>
        <v>1137.4000000000001</v>
      </c>
      <c r="E34" s="18" t="str">
        <f>"$ per '"&amp;E3&amp;"' of practice per year"</f>
        <v>$ per 'acre treated' of practice per year</v>
      </c>
      <c r="I34" s="82" t="s">
        <v>169</v>
      </c>
      <c r="J34" s="217" t="s">
        <v>160</v>
      </c>
      <c r="K34" s="218" t="s">
        <v>233</v>
      </c>
      <c r="L34" s="219" t="s">
        <v>165</v>
      </c>
    </row>
    <row r="35" spans="1:12" ht="5.25" customHeight="1" thickBot="1">
      <c r="C35" s="24"/>
      <c r="D35" s="47"/>
      <c r="E35" s="18"/>
      <c r="I35" s="78"/>
      <c r="J35" s="220"/>
      <c r="K35" s="220"/>
      <c r="L35" s="221"/>
    </row>
    <row r="36" spans="1:12">
      <c r="C36" s="24" t="s">
        <v>10</v>
      </c>
      <c r="D36" s="38">
        <f>L36</f>
        <v>14998</v>
      </c>
      <c r="E36" s="18" t="str">
        <f>"$ per '"&amp;E3&amp;"' of practice"</f>
        <v>$ per 'acre treated' of practice</v>
      </c>
      <c r="I36" s="78" t="s">
        <v>162</v>
      </c>
      <c r="J36" s="236">
        <v>13433</v>
      </c>
      <c r="K36" s="236">
        <v>16563</v>
      </c>
      <c r="L36" s="241">
        <f>AVERAGE(J36:K36)</f>
        <v>14998</v>
      </c>
    </row>
    <row r="37" spans="1:12">
      <c r="C37" s="24" t="s">
        <v>12</v>
      </c>
      <c r="D37" s="39">
        <f>L37</f>
        <v>387.5</v>
      </c>
      <c r="E37" s="18" t="str">
        <f>"$ per '"&amp;E3&amp;"' of practice per year"</f>
        <v>$ per 'acre treated' of practice per year</v>
      </c>
      <c r="I37" s="78" t="s">
        <v>161</v>
      </c>
      <c r="J37" s="236">
        <v>548</v>
      </c>
      <c r="K37" s="236">
        <v>227</v>
      </c>
      <c r="L37" s="241">
        <f>AVERAGE(J37:K37)</f>
        <v>387.5</v>
      </c>
    </row>
    <row r="38" spans="1:12">
      <c r="C38" s="24" t="s">
        <v>13</v>
      </c>
      <c r="D38" s="40">
        <f>L38</f>
        <v>20</v>
      </c>
      <c r="E38" s="18" t="s">
        <v>15</v>
      </c>
      <c r="I38" s="78" t="s">
        <v>163</v>
      </c>
      <c r="J38" s="245">
        <v>20</v>
      </c>
      <c r="K38" s="245">
        <v>20</v>
      </c>
      <c r="L38" s="247">
        <v>20</v>
      </c>
    </row>
    <row r="39" spans="1:12" ht="13.5" thickBot="1">
      <c r="C39" s="24" t="s">
        <v>14</v>
      </c>
      <c r="D39" s="41">
        <f>Summary!C35</f>
        <v>0</v>
      </c>
      <c r="E39" s="18" t="s">
        <v>16</v>
      </c>
      <c r="I39" s="80" t="s">
        <v>166</v>
      </c>
      <c r="J39" s="239">
        <f>J37+(J36/J38)</f>
        <v>1219.6500000000001</v>
      </c>
      <c r="K39" s="239">
        <f>K37+(K36/K38)</f>
        <v>1055.1500000000001</v>
      </c>
      <c r="L39" s="242">
        <f>L37+(L36/L38)</f>
        <v>1137.4000000000001</v>
      </c>
    </row>
    <row r="40" spans="1:12">
      <c r="F40" s="234"/>
    </row>
    <row r="41" spans="1:12" ht="12.75" customHeight="1">
      <c r="I41" s="304" t="s">
        <v>279</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A1:B1"/>
    <mergeCell ref="I41:L45"/>
    <mergeCell ref="G27:H30"/>
    <mergeCell ref="N27:O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67.xml><?xml version="1.0" encoding="utf-8"?>
<worksheet xmlns="http://schemas.openxmlformats.org/spreadsheetml/2006/main" xmlns:r="http://schemas.openxmlformats.org/officeDocument/2006/relationships">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1" width="12" style="17" bestFit="1" customWidth="1"/>
    <col min="12" max="16384" width="9.140625" style="17"/>
  </cols>
  <sheetData>
    <row r="1" spans="1:19" s="20" customFormat="1" ht="21" customHeight="1">
      <c r="A1" s="302" t="s">
        <v>136</v>
      </c>
      <c r="B1" s="303"/>
      <c r="D1" s="25" t="s">
        <v>134</v>
      </c>
      <c r="E1" s="89" t="str">
        <f>VLOOKUP($K$1,'BMP info'!A:G,3,FALSE)</f>
        <v>Permeable Pavement w/ Sand, Veg. - A/B soils, underdrain</v>
      </c>
      <c r="I1" s="22"/>
      <c r="J1" s="37" t="s">
        <v>135</v>
      </c>
      <c r="K1" s="50">
        <v>52</v>
      </c>
      <c r="L1" s="22"/>
      <c r="M1" s="22"/>
      <c r="N1" s="22"/>
      <c r="O1" s="22"/>
      <c r="P1" s="22"/>
      <c r="Q1" s="22"/>
      <c r="R1" s="22"/>
    </row>
    <row r="2" spans="1:19" s="20" customFormat="1" ht="12.75" customHeight="1">
      <c r="D2" s="48" t="s">
        <v>3</v>
      </c>
      <c r="E2" s="19" t="str">
        <f>VLOOKUP($K$1,'BMP info'!A:G,4,FALSE)</f>
        <v>PermPavSVUDAB</v>
      </c>
      <c r="I2" s="23"/>
      <c r="L2" s="23"/>
      <c r="M2" s="23"/>
      <c r="N2" s="23"/>
      <c r="O2" s="23"/>
      <c r="P2" s="23"/>
      <c r="Q2" s="23"/>
      <c r="R2" s="23"/>
      <c r="S2" s="23"/>
    </row>
    <row r="3" spans="1:19" s="20" customFormat="1" ht="12.75" customHeight="1">
      <c r="D3" s="48" t="s">
        <v>79</v>
      </c>
      <c r="E3" s="19" t="str">
        <f>VLOOKUP($K$1,'BMP info'!A:G,5,FALSE)</f>
        <v>acre treated</v>
      </c>
      <c r="I3" s="23"/>
      <c r="K3" s="49"/>
      <c r="L3" s="23"/>
      <c r="M3" s="23"/>
      <c r="N3" s="23"/>
      <c r="O3" s="23"/>
      <c r="P3" s="23"/>
      <c r="Q3" s="23"/>
      <c r="R3" s="23"/>
      <c r="S3" s="23"/>
    </row>
    <row r="4" spans="1:19" s="20" customFormat="1" ht="12.75" customHeight="1">
      <c r="D4" s="48" t="s">
        <v>170</v>
      </c>
      <c r="E4" s="19" t="str">
        <f>VLOOKUP($K$1,'BMP info'!A:G,6,FALSE)</f>
        <v>efficiency treated</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43" t="s">
        <v>130</v>
      </c>
      <c r="K11" s="43" t="s">
        <v>128</v>
      </c>
      <c r="L11" s="43" t="s">
        <v>129</v>
      </c>
      <c r="M11" s="43" t="s">
        <v>130</v>
      </c>
    </row>
    <row r="12" spans="1:19" ht="5.25" customHeight="1" thickBot="1"/>
    <row r="13" spans="1:19" ht="12.75" customHeight="1">
      <c r="C13" s="24" t="s">
        <v>9</v>
      </c>
      <c r="D13" s="28">
        <f t="shared" ref="D13:F15" si="0">IF(D27*$D$34=0,"-",1000*D27/$D$34)</f>
        <v>0.92990734481054538</v>
      </c>
      <c r="E13" s="29">
        <f t="shared" si="0"/>
        <v>7.0498390769820382E-2</v>
      </c>
      <c r="F13" s="30">
        <f t="shared" si="0"/>
        <v>42.038441580184163</v>
      </c>
      <c r="G13" s="305" t="s">
        <v>254</v>
      </c>
      <c r="H13" s="300"/>
      <c r="J13" s="24" t="s">
        <v>9</v>
      </c>
      <c r="K13" s="28">
        <f t="shared" ref="K13:M16" si="1">IF(K27*$D$34=0,"-",1000*K27/$D$34)</f>
        <v>0.92368291751132092</v>
      </c>
      <c r="L13" s="29">
        <f t="shared" si="1"/>
        <v>6.9600799572378039E-2</v>
      </c>
      <c r="M13" s="30">
        <f t="shared" si="1"/>
        <v>52.449691728944167</v>
      </c>
      <c r="N13" s="305" t="s">
        <v>133</v>
      </c>
      <c r="O13" s="300"/>
    </row>
    <row r="14" spans="1:19">
      <c r="C14" s="24" t="s">
        <v>7</v>
      </c>
      <c r="D14" s="31">
        <f t="shared" si="0"/>
        <v>0.91125825623027057</v>
      </c>
      <c r="E14" s="32">
        <f t="shared" si="0"/>
        <v>6.7887368612144866E-2</v>
      </c>
      <c r="F14" s="33">
        <f t="shared" si="0"/>
        <v>29.084821619113896</v>
      </c>
      <c r="G14" s="301"/>
      <c r="H14" s="300"/>
      <c r="J14" s="24" t="s">
        <v>7</v>
      </c>
      <c r="K14" s="31">
        <f t="shared" si="1"/>
        <v>0.82046898611237173</v>
      </c>
      <c r="L14" s="32">
        <f t="shared" si="1"/>
        <v>6.3063792320958531E-2</v>
      </c>
      <c r="M14" s="33">
        <f t="shared" si="1"/>
        <v>31.327957439512673</v>
      </c>
      <c r="N14" s="301"/>
      <c r="O14" s="300"/>
    </row>
    <row r="15" spans="1:19">
      <c r="C15" s="24" t="s">
        <v>8</v>
      </c>
      <c r="D15" s="31">
        <f t="shared" si="0"/>
        <v>0.92025835647938026</v>
      </c>
      <c r="E15" s="32">
        <f t="shared" si="0"/>
        <v>6.9152549897632962E-2</v>
      </c>
      <c r="F15" s="33">
        <f t="shared" si="0"/>
        <v>24.47756215142255</v>
      </c>
      <c r="G15" s="301"/>
      <c r="H15" s="300"/>
      <c r="J15" s="24" t="s">
        <v>8</v>
      </c>
      <c r="K15" s="31">
        <f t="shared" si="1"/>
        <v>0.88295833691365866</v>
      </c>
      <c r="L15" s="32">
        <f t="shared" si="1"/>
        <v>6.3797655744152984E-2</v>
      </c>
      <c r="M15" s="33">
        <f t="shared" si="1"/>
        <v>24.47756215142255</v>
      </c>
      <c r="N15" s="301"/>
      <c r="O15" s="300"/>
    </row>
    <row r="16" spans="1:19" ht="13.5" thickBot="1">
      <c r="C16" s="24" t="s">
        <v>6</v>
      </c>
      <c r="D16" s="34">
        <f>IF(E30*$D$34=0,"-",1000*E30/$D$34)</f>
        <v>6.3797655744152984E-2</v>
      </c>
      <c r="E16" s="35">
        <f>IF(E30*$D$34=0,"-",1000*E30/$D$34)</f>
        <v>6.3797655744152984E-2</v>
      </c>
      <c r="F16" s="36">
        <f>IF(F30*$D$34=0,"-",1000*F30/$D$34)</f>
        <v>19.080634716044901</v>
      </c>
      <c r="G16" s="301"/>
      <c r="H16" s="300"/>
      <c r="J16" s="24" t="s">
        <v>6</v>
      </c>
      <c r="K16" s="34">
        <f t="shared" si="1"/>
        <v>0.63420101983802812</v>
      </c>
      <c r="L16" s="35">
        <f t="shared" si="1"/>
        <v>4.853521164261293E-2</v>
      </c>
      <c r="M16" s="36">
        <f t="shared" si="1"/>
        <v>19.080634716044901</v>
      </c>
      <c r="N16" s="301"/>
      <c r="O16" s="300"/>
    </row>
    <row r="17" spans="1:15" ht="5.25" customHeight="1" thickBot="1"/>
    <row r="18" spans="1:15" s="42" customFormat="1">
      <c r="A18" s="86" t="s">
        <v>252</v>
      </c>
      <c r="D18" s="43" t="s">
        <v>128</v>
      </c>
      <c r="E18" s="43" t="s">
        <v>129</v>
      </c>
      <c r="F18" s="43" t="s">
        <v>130</v>
      </c>
      <c r="K18" s="43" t="s">
        <v>128</v>
      </c>
      <c r="L18" s="43" t="s">
        <v>129</v>
      </c>
      <c r="M18" s="43" t="s">
        <v>130</v>
      </c>
    </row>
    <row r="19" spans="1:15" ht="5.25" customHeight="1" thickBot="1"/>
    <row r="20" spans="1:15" ht="12.75" customHeight="1">
      <c r="C20" s="24" t="s">
        <v>9</v>
      </c>
      <c r="D20" s="28">
        <f t="shared" ref="D20:F23" si="2">IF(D27=0,"-",$D$34/D27)</f>
        <v>1075.3759560891897</v>
      </c>
      <c r="E20" s="29">
        <f t="shared" si="2"/>
        <v>14184.720942993346</v>
      </c>
      <c r="F20" s="30">
        <f t="shared" si="2"/>
        <v>23.787751458212337</v>
      </c>
      <c r="G20" s="305" t="s">
        <v>253</v>
      </c>
      <c r="H20" s="300"/>
      <c r="J20" s="24" t="s">
        <v>9</v>
      </c>
      <c r="K20" s="28">
        <f t="shared" ref="K20:M23" si="3">IF(K27=0,"-",$D$34/K27)</f>
        <v>1082.6225981252314</v>
      </c>
      <c r="L20" s="29">
        <f t="shared" si="3"/>
        <v>14367.651034814586</v>
      </c>
      <c r="M20" s="30">
        <f t="shared" si="3"/>
        <v>19.065888988784156</v>
      </c>
      <c r="N20" s="305" t="s">
        <v>132</v>
      </c>
      <c r="O20" s="300"/>
    </row>
    <row r="21" spans="1:15">
      <c r="C21" s="24" t="s">
        <v>7</v>
      </c>
      <c r="D21" s="31">
        <f t="shared" si="2"/>
        <v>1097.3837473219062</v>
      </c>
      <c r="E21" s="32">
        <f t="shared" si="2"/>
        <v>14730.280764205414</v>
      </c>
      <c r="F21" s="33">
        <f t="shared" si="2"/>
        <v>34.382194709518942</v>
      </c>
      <c r="G21" s="301"/>
      <c r="H21" s="300"/>
      <c r="J21" s="24" t="s">
        <v>7</v>
      </c>
      <c r="K21" s="31">
        <f t="shared" si="3"/>
        <v>1218.8151129737396</v>
      </c>
      <c r="L21" s="32">
        <f t="shared" si="3"/>
        <v>15856.959488109655</v>
      </c>
      <c r="M21" s="33">
        <f t="shared" si="3"/>
        <v>31.920370229395832</v>
      </c>
      <c r="N21" s="301"/>
      <c r="O21" s="300"/>
    </row>
    <row r="22" spans="1:15">
      <c r="C22" s="24" t="s">
        <v>8</v>
      </c>
      <c r="D22" s="31">
        <f t="shared" si="2"/>
        <v>1086.6513658465283</v>
      </c>
      <c r="E22" s="32">
        <f t="shared" si="2"/>
        <v>14460.782740192626</v>
      </c>
      <c r="F22" s="33">
        <f t="shared" si="2"/>
        <v>40.853741635454632</v>
      </c>
      <c r="G22" s="301"/>
      <c r="H22" s="300"/>
      <c r="J22" s="24" t="s">
        <v>8</v>
      </c>
      <c r="K22" s="31">
        <f t="shared" si="3"/>
        <v>1132.556269297434</v>
      </c>
      <c r="L22" s="32">
        <f t="shared" si="3"/>
        <v>15674.557134360684</v>
      </c>
      <c r="M22" s="33">
        <f t="shared" si="3"/>
        <v>40.853741635454632</v>
      </c>
      <c r="N22" s="301"/>
      <c r="O22" s="300"/>
    </row>
    <row r="23" spans="1:15" ht="13.5" thickBot="1">
      <c r="C23" s="24" t="s">
        <v>6</v>
      </c>
      <c r="D23" s="34">
        <f t="shared" si="2"/>
        <v>1132.556269297434</v>
      </c>
      <c r="E23" s="35">
        <f t="shared" si="2"/>
        <v>15674.557134360684</v>
      </c>
      <c r="F23" s="36">
        <f t="shared" si="2"/>
        <v>52.409158022353431</v>
      </c>
      <c r="G23" s="301"/>
      <c r="H23" s="300"/>
      <c r="J23" s="24" t="s">
        <v>6</v>
      </c>
      <c r="K23" s="34">
        <f t="shared" si="3"/>
        <v>1576.787120675705</v>
      </c>
      <c r="L23" s="35">
        <f t="shared" si="3"/>
        <v>20603.598215733753</v>
      </c>
      <c r="M23" s="36">
        <f t="shared" si="3"/>
        <v>52.409158022353431</v>
      </c>
      <c r="N23" s="301"/>
      <c r="O23" s="300"/>
    </row>
    <row r="24" spans="1:15" ht="13.5" thickBot="1"/>
    <row r="25" spans="1:15" s="42" customFormat="1">
      <c r="A25" s="86" t="s">
        <v>255</v>
      </c>
      <c r="D25" s="43" t="s">
        <v>128</v>
      </c>
      <c r="E25" s="43" t="s">
        <v>129</v>
      </c>
      <c r="F25" s="43" t="s">
        <v>130</v>
      </c>
      <c r="H25" s="86"/>
      <c r="K25" s="43" t="s">
        <v>128</v>
      </c>
      <c r="L25" s="43" t="s">
        <v>129</v>
      </c>
      <c r="M25" s="43" t="s">
        <v>130</v>
      </c>
    </row>
    <row r="26" spans="1:15" ht="5.25" customHeight="1" thickBot="1"/>
    <row r="27" spans="1:15" ht="12.75" customHeight="1">
      <c r="C27" s="24" t="s">
        <v>9</v>
      </c>
      <c r="D27" s="208">
        <v>4.6101551479999996</v>
      </c>
      <c r="E27" s="209">
        <v>0.34950634699999999</v>
      </c>
      <c r="F27" s="210">
        <v>208.4118799</v>
      </c>
      <c r="G27" s="305" t="str">
        <f>"EOS pounds removed per '"&amp;E3&amp;"' of practice per year"</f>
        <v>EOS pounds removed per 'acre treated' of practice per year</v>
      </c>
      <c r="H27" s="300"/>
      <c r="J27" s="24" t="s">
        <v>9</v>
      </c>
      <c r="K27" s="208">
        <v>4.5792966159999997</v>
      </c>
      <c r="L27" s="209">
        <v>0.34505640399999998</v>
      </c>
      <c r="M27" s="210">
        <v>260.0272142</v>
      </c>
      <c r="N27" s="305" t="str">
        <f>"delivered pounds removed per '"&amp;E3&amp;"' of practice per year"</f>
        <v>delivered pounds removed per 'acre treated' of practice per year</v>
      </c>
      <c r="O27" s="307"/>
    </row>
    <row r="28" spans="1:15">
      <c r="C28" s="24" t="s">
        <v>7</v>
      </c>
      <c r="D28" s="211">
        <v>4.5176994940000004</v>
      </c>
      <c r="E28" s="212">
        <v>0.33656181299999999</v>
      </c>
      <c r="F28" s="213">
        <v>144.1923659</v>
      </c>
      <c r="G28" s="301"/>
      <c r="H28" s="300"/>
      <c r="J28" s="24" t="s">
        <v>7</v>
      </c>
      <c r="K28" s="211">
        <v>4.0675980689999998</v>
      </c>
      <c r="L28" s="212">
        <v>0.31264820999999998</v>
      </c>
      <c r="M28" s="213">
        <v>155.3130482</v>
      </c>
      <c r="N28" s="305"/>
      <c r="O28" s="307"/>
    </row>
    <row r="29" spans="1:15">
      <c r="C29" s="24" t="s">
        <v>8</v>
      </c>
      <c r="D29" s="211">
        <v>4.5623188409999997</v>
      </c>
      <c r="E29" s="212">
        <v>0.34283413899999998</v>
      </c>
      <c r="F29" s="213">
        <v>121.351186</v>
      </c>
      <c r="G29" s="301"/>
      <c r="H29" s="300"/>
      <c r="J29" s="24" t="s">
        <v>8</v>
      </c>
      <c r="K29" s="211">
        <v>4.3773983989999996</v>
      </c>
      <c r="L29" s="212">
        <v>0.316286448</v>
      </c>
      <c r="M29" s="213">
        <v>121.351186</v>
      </c>
      <c r="N29" s="305"/>
      <c r="O29" s="307"/>
    </row>
    <row r="30" spans="1:15" ht="13.5" thickBot="1">
      <c r="C30" s="24" t="s">
        <v>6</v>
      </c>
      <c r="D30" s="214">
        <v>4.3773983989999996</v>
      </c>
      <c r="E30" s="215">
        <v>0.316286448</v>
      </c>
      <c r="F30" s="216">
        <v>94.595108699999997</v>
      </c>
      <c r="G30" s="301"/>
      <c r="H30" s="300"/>
      <c r="J30" s="24" t="s">
        <v>6</v>
      </c>
      <c r="K30" s="214">
        <v>3.144146686</v>
      </c>
      <c r="L30" s="215">
        <v>0.24062059199999999</v>
      </c>
      <c r="M30" s="216">
        <v>94.595108699999997</v>
      </c>
      <c r="N30" s="305"/>
      <c r="O30" s="307"/>
    </row>
    <row r="31" spans="1:15" ht="13.5" thickBot="1"/>
    <row r="32" spans="1:15" s="42" customFormat="1">
      <c r="A32" s="86" t="s">
        <v>1</v>
      </c>
    </row>
    <row r="33" spans="1:12" ht="5.25" customHeight="1" thickBot="1"/>
    <row r="34" spans="1:12" ht="13.5" thickBot="1">
      <c r="C34" s="24" t="s">
        <v>11</v>
      </c>
      <c r="D34" s="46">
        <f>-PMT(D39,D38,D36)+D37</f>
        <v>4957.6499999999996</v>
      </c>
      <c r="E34" s="18" t="str">
        <f>"$ per '"&amp;E3&amp;"' of practice per year"</f>
        <v>$ per 'acre treated' of practice per year</v>
      </c>
      <c r="I34" s="82" t="s">
        <v>169</v>
      </c>
      <c r="J34" s="217" t="s">
        <v>160</v>
      </c>
      <c r="K34" s="218" t="s">
        <v>233</v>
      </c>
      <c r="L34" s="219" t="s">
        <v>165</v>
      </c>
    </row>
    <row r="35" spans="1:12" ht="5.25" customHeight="1" thickBot="1">
      <c r="C35" s="24"/>
      <c r="D35" s="47"/>
      <c r="E35" s="18"/>
      <c r="I35" s="78"/>
      <c r="J35" s="220"/>
      <c r="K35" s="220"/>
      <c r="L35" s="221"/>
    </row>
    <row r="36" spans="1:12">
      <c r="C36" s="24" t="s">
        <v>10</v>
      </c>
      <c r="D36" s="38">
        <f>K36</f>
        <v>83853</v>
      </c>
      <c r="E36" s="18" t="str">
        <f>"$ per '"&amp;E3&amp;"' of practice"</f>
        <v>$ per 'acre treated' of practice</v>
      </c>
      <c r="I36" s="78" t="s">
        <v>162</v>
      </c>
      <c r="J36" s="236"/>
      <c r="K36" s="235">
        <v>83853</v>
      </c>
      <c r="L36" s="237"/>
    </row>
    <row r="37" spans="1:12">
      <c r="C37" s="24" t="s">
        <v>12</v>
      </c>
      <c r="D37" s="39">
        <f>K37</f>
        <v>765</v>
      </c>
      <c r="E37" s="18" t="str">
        <f>"$ per '"&amp;E3&amp;"' of practice per year"</f>
        <v>$ per 'acre treated' of practice per year</v>
      </c>
      <c r="I37" s="78" t="s">
        <v>161</v>
      </c>
      <c r="J37" s="236"/>
      <c r="K37" s="235">
        <v>765</v>
      </c>
      <c r="L37" s="237"/>
    </row>
    <row r="38" spans="1:12">
      <c r="C38" s="24" t="s">
        <v>13</v>
      </c>
      <c r="D38" s="40">
        <f>K38</f>
        <v>20</v>
      </c>
      <c r="E38" s="18" t="s">
        <v>15</v>
      </c>
      <c r="I38" s="78" t="s">
        <v>163</v>
      </c>
      <c r="J38" s="245"/>
      <c r="K38" s="244">
        <v>20</v>
      </c>
      <c r="L38" s="246"/>
    </row>
    <row r="39" spans="1:12" ht="13.5" thickBot="1">
      <c r="C39" s="24" t="s">
        <v>14</v>
      </c>
      <c r="D39" s="41">
        <f>Summary!C35</f>
        <v>0</v>
      </c>
      <c r="E39" s="18" t="s">
        <v>16</v>
      </c>
      <c r="I39" s="80" t="s">
        <v>166</v>
      </c>
      <c r="J39" s="239"/>
      <c r="K39" s="238">
        <f>K37+(K36/K38)</f>
        <v>4957.6499999999996</v>
      </c>
      <c r="L39" s="240"/>
    </row>
    <row r="40" spans="1:12">
      <c r="F40" s="234"/>
    </row>
    <row r="41" spans="1:12" ht="12.75" customHeight="1">
      <c r="I41" s="304" t="s">
        <v>279</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A1:B1"/>
    <mergeCell ref="I41:L45"/>
    <mergeCell ref="G27:H30"/>
    <mergeCell ref="N27:O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68.xml><?xml version="1.0" encoding="utf-8"?>
<worksheet xmlns="http://schemas.openxmlformats.org/spreadsheetml/2006/main" xmlns:r="http://schemas.openxmlformats.org/officeDocument/2006/relationships">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MS4 Permit-Required Stormwater Retrofit</v>
      </c>
      <c r="I1" s="22"/>
      <c r="J1" s="37" t="s">
        <v>135</v>
      </c>
      <c r="K1" s="50">
        <v>53</v>
      </c>
      <c r="L1" s="22"/>
      <c r="M1" s="22"/>
      <c r="N1" s="22"/>
      <c r="O1" s="22"/>
      <c r="P1" s="22"/>
      <c r="Q1" s="22"/>
      <c r="R1" s="22"/>
    </row>
    <row r="2" spans="1:19" s="20" customFormat="1" ht="12.75" customHeight="1">
      <c r="D2" s="48" t="s">
        <v>3</v>
      </c>
      <c r="E2" s="19" t="str">
        <f>VLOOKUP($K$1,'BMP info'!A:G,4,FALSE)</f>
        <v>RetroSWM</v>
      </c>
      <c r="I2" s="23"/>
      <c r="L2" s="23"/>
      <c r="M2" s="23"/>
      <c r="N2" s="23"/>
      <c r="O2" s="23"/>
      <c r="P2" s="23"/>
      <c r="Q2" s="23"/>
      <c r="R2" s="23"/>
      <c r="S2" s="23"/>
    </row>
    <row r="3" spans="1:19" s="20" customFormat="1" ht="12.75" customHeight="1">
      <c r="D3" s="48" t="s">
        <v>79</v>
      </c>
      <c r="E3" s="19" t="str">
        <f>VLOOKUP($K$1,'BMP info'!A:G,5,FALSE)</f>
        <v>acre treated</v>
      </c>
      <c r="I3" s="23"/>
      <c r="K3" s="49"/>
      <c r="L3" s="23"/>
      <c r="M3" s="23"/>
      <c r="N3" s="23"/>
      <c r="O3" s="23"/>
      <c r="P3" s="23"/>
      <c r="Q3" s="23"/>
      <c r="R3" s="23"/>
      <c r="S3" s="23"/>
    </row>
    <row r="4" spans="1:19" s="20" customFormat="1" ht="12.75" customHeight="1">
      <c r="D4" s="48" t="s">
        <v>170</v>
      </c>
      <c r="E4" s="19" t="str">
        <f>VLOOKUP($K$1,'BMP info'!A:G,6,FALSE)</f>
        <v>efficiency treated</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43" t="s">
        <v>130</v>
      </c>
      <c r="K11" s="43" t="s">
        <v>128</v>
      </c>
      <c r="L11" s="43" t="s">
        <v>129</v>
      </c>
      <c r="M11" s="43" t="s">
        <v>130</v>
      </c>
    </row>
    <row r="12" spans="1:19" ht="5.25" customHeight="1" thickBot="1"/>
    <row r="13" spans="1:19" ht="12.75" customHeight="1">
      <c r="C13" s="24" t="s">
        <v>9</v>
      </c>
      <c r="D13" s="28">
        <f t="shared" ref="D13:F15" si="0">IF(D27*$D$34=0,"-",1000*D27/$D$34)</f>
        <v>2.9773653120374939</v>
      </c>
      <c r="E13" s="29">
        <f t="shared" si="0"/>
        <v>0.24671814380858414</v>
      </c>
      <c r="F13" s="30">
        <f t="shared" si="0"/>
        <v>353.40577799703999</v>
      </c>
      <c r="G13" s="305" t="s">
        <v>254</v>
      </c>
      <c r="H13" s="300"/>
      <c r="J13" s="24" t="s">
        <v>9</v>
      </c>
      <c r="K13" s="28">
        <f t="shared" ref="K13:M16" si="1">IF(K27*$D$34=0,"-",1000*K27/$D$34)</f>
        <v>1.9097202522200296</v>
      </c>
      <c r="L13" s="29">
        <f t="shared" si="1"/>
        <v>0.22968155957079428</v>
      </c>
      <c r="M13" s="30">
        <f t="shared" si="1"/>
        <v>378.71562857671438</v>
      </c>
      <c r="N13" s="305" t="s">
        <v>133</v>
      </c>
      <c r="O13" s="300"/>
    </row>
    <row r="14" spans="1:19">
      <c r="C14" s="24" t="s">
        <v>7</v>
      </c>
      <c r="D14" s="31">
        <f t="shared" si="0"/>
        <v>1.8580847958806117</v>
      </c>
      <c r="E14" s="32">
        <f t="shared" si="0"/>
        <v>0.18459268808584117</v>
      </c>
      <c r="F14" s="33">
        <f t="shared" si="0"/>
        <v>220.94117569067589</v>
      </c>
      <c r="G14" s="301"/>
      <c r="H14" s="300"/>
      <c r="J14" s="24" t="s">
        <v>7</v>
      </c>
      <c r="K14" s="31">
        <f t="shared" si="1"/>
        <v>1.0772153965219535</v>
      </c>
      <c r="L14" s="32">
        <f t="shared" si="1"/>
        <v>0.11746877466699555</v>
      </c>
      <c r="M14" s="33">
        <f t="shared" si="1"/>
        <v>184.20232825604344</v>
      </c>
      <c r="N14" s="301"/>
      <c r="O14" s="300"/>
    </row>
    <row r="15" spans="1:19">
      <c r="C15" s="24" t="s">
        <v>8</v>
      </c>
      <c r="D15" s="31">
        <f t="shared" si="0"/>
        <v>1.6828004403058707</v>
      </c>
      <c r="E15" s="32">
        <f t="shared" si="0"/>
        <v>0.18545172298963988</v>
      </c>
      <c r="F15" s="33">
        <f t="shared" si="0"/>
        <v>239.18978922052293</v>
      </c>
      <c r="G15" s="301"/>
      <c r="H15" s="300"/>
      <c r="J15" s="24" t="s">
        <v>8</v>
      </c>
      <c r="K15" s="31">
        <f t="shared" si="1"/>
        <v>1.0961625789343858</v>
      </c>
      <c r="L15" s="32">
        <f t="shared" si="1"/>
        <v>0.10932065244203255</v>
      </c>
      <c r="M15" s="33">
        <f t="shared" si="1"/>
        <v>150.02606123581651</v>
      </c>
      <c r="N15" s="301"/>
      <c r="O15" s="300"/>
    </row>
    <row r="16" spans="1:19" ht="13.5" thickBot="1">
      <c r="C16" s="24" t="s">
        <v>6</v>
      </c>
      <c r="D16" s="34">
        <f>IF(E30*$D$34=0,"-",1000*E30/$D$34)</f>
        <v>0.12256462999506662</v>
      </c>
      <c r="E16" s="35">
        <f>IF(E30*$D$34=0,"-",1000*E30/$D$34)</f>
        <v>0.12256462999506662</v>
      </c>
      <c r="F16" s="36">
        <f>IF(F30*$D$34=0,"-",1000*F30/$D$34)</f>
        <v>51.32997184879131</v>
      </c>
      <c r="G16" s="301"/>
      <c r="H16" s="300"/>
      <c r="J16" s="24" t="s">
        <v>6</v>
      </c>
      <c r="K16" s="34">
        <f t="shared" si="1"/>
        <v>0.41468296743956595</v>
      </c>
      <c r="L16" s="35">
        <f t="shared" si="1"/>
        <v>3.8018981253083374E-2</v>
      </c>
      <c r="M16" s="36">
        <f t="shared" si="1"/>
        <v>22.612141070547612</v>
      </c>
      <c r="N16" s="301"/>
      <c r="O16" s="300"/>
    </row>
    <row r="17" spans="1:15" ht="5.25" customHeight="1" thickBot="1"/>
    <row r="18" spans="1:15" s="42" customFormat="1">
      <c r="A18" s="86" t="s">
        <v>252</v>
      </c>
      <c r="D18" s="43" t="s">
        <v>128</v>
      </c>
      <c r="E18" s="43" t="s">
        <v>129</v>
      </c>
      <c r="F18" s="43" t="s">
        <v>130</v>
      </c>
      <c r="K18" s="43" t="s">
        <v>128</v>
      </c>
      <c r="L18" s="43" t="s">
        <v>129</v>
      </c>
      <c r="M18" s="43" t="s">
        <v>130</v>
      </c>
    </row>
    <row r="19" spans="1:15" ht="5.25" customHeight="1" thickBot="1"/>
    <row r="20" spans="1:15" ht="12.75" customHeight="1">
      <c r="C20" s="24" t="s">
        <v>9</v>
      </c>
      <c r="D20" s="28">
        <f t="shared" ref="D20:F23" si="2">IF(D27=0,"-",$D$34/D27)</f>
        <v>335.86741806824909</v>
      </c>
      <c r="E20" s="29">
        <f t="shared" si="2"/>
        <v>4053.2081855149181</v>
      </c>
      <c r="F20" s="30">
        <f t="shared" si="2"/>
        <v>2.8296085187616136</v>
      </c>
      <c r="G20" s="305" t="s">
        <v>253</v>
      </c>
      <c r="H20" s="300"/>
      <c r="J20" s="24" t="s">
        <v>9</v>
      </c>
      <c r="K20" s="28">
        <f t="shared" ref="K20:M23" si="3">IF(K27=0,"-",$D$34/K27)</f>
        <v>523.63690380175342</v>
      </c>
      <c r="L20" s="29">
        <f t="shared" si="3"/>
        <v>4353.8541007327667</v>
      </c>
      <c r="M20" s="30">
        <f t="shared" si="3"/>
        <v>2.6405036511384301</v>
      </c>
      <c r="N20" s="305" t="s">
        <v>132</v>
      </c>
      <c r="O20" s="300"/>
    </row>
    <row r="21" spans="1:15">
      <c r="C21" s="24" t="s">
        <v>7</v>
      </c>
      <c r="D21" s="31">
        <f t="shared" si="2"/>
        <v>538.18857041239869</v>
      </c>
      <c r="E21" s="32">
        <f t="shared" si="2"/>
        <v>5417.33267102633</v>
      </c>
      <c r="F21" s="33">
        <f t="shared" si="2"/>
        <v>4.5260916027713609</v>
      </c>
      <c r="G21" s="301"/>
      <c r="H21" s="300"/>
      <c r="J21" s="24" t="s">
        <v>7</v>
      </c>
      <c r="K21" s="31">
        <f t="shared" si="3"/>
        <v>928.31944588680972</v>
      </c>
      <c r="L21" s="32">
        <f t="shared" si="3"/>
        <v>8512.9005800463456</v>
      </c>
      <c r="M21" s="33">
        <f t="shared" si="3"/>
        <v>5.428813031125145</v>
      </c>
      <c r="N21" s="301"/>
      <c r="O21" s="300"/>
    </row>
    <row r="22" spans="1:15">
      <c r="C22" s="24" t="s">
        <v>8</v>
      </c>
      <c r="D22" s="31">
        <f t="shared" si="2"/>
        <v>594.24752694873143</v>
      </c>
      <c r="E22" s="32">
        <f t="shared" si="2"/>
        <v>5392.2389281649557</v>
      </c>
      <c r="F22" s="33">
        <f t="shared" si="2"/>
        <v>4.1807804725227715</v>
      </c>
      <c r="G22" s="301"/>
      <c r="H22" s="300"/>
      <c r="J22" s="24" t="s">
        <v>8</v>
      </c>
      <c r="K22" s="31">
        <f t="shared" si="3"/>
        <v>912.27343390259819</v>
      </c>
      <c r="L22" s="32">
        <f t="shared" si="3"/>
        <v>9147.4024135581476</v>
      </c>
      <c r="M22" s="33">
        <f t="shared" si="3"/>
        <v>6.6655085907252021</v>
      </c>
      <c r="N22" s="301"/>
      <c r="O22" s="300"/>
    </row>
    <row r="23" spans="1:15" ht="13.5" thickBot="1">
      <c r="C23" s="24" t="s">
        <v>6</v>
      </c>
      <c r="D23" s="34">
        <f t="shared" si="2"/>
        <v>969.87955139656788</v>
      </c>
      <c r="E23" s="35">
        <f t="shared" si="2"/>
        <v>8158.9607053866303</v>
      </c>
      <c r="F23" s="36">
        <f t="shared" si="2"/>
        <v>19.481795215976675</v>
      </c>
      <c r="G23" s="301"/>
      <c r="H23" s="300"/>
      <c r="J23" s="24" t="s">
        <v>6</v>
      </c>
      <c r="K23" s="34">
        <f t="shared" si="3"/>
        <v>2411.4807660764018</v>
      </c>
      <c r="L23" s="35">
        <f t="shared" si="3"/>
        <v>26302.651124269647</v>
      </c>
      <c r="M23" s="36">
        <f t="shared" si="3"/>
        <v>44.224029775866882</v>
      </c>
      <c r="N23" s="301"/>
      <c r="O23" s="300"/>
    </row>
    <row r="24" spans="1:15" ht="13.5" thickBot="1"/>
    <row r="25" spans="1:15" s="42" customFormat="1">
      <c r="A25" s="86" t="s">
        <v>255</v>
      </c>
      <c r="D25" s="43" t="s">
        <v>128</v>
      </c>
      <c r="E25" s="43" t="s">
        <v>129</v>
      </c>
      <c r="F25" s="43" t="s">
        <v>130</v>
      </c>
      <c r="H25" s="86"/>
      <c r="K25" s="43" t="s">
        <v>128</v>
      </c>
      <c r="L25" s="43" t="s">
        <v>129</v>
      </c>
      <c r="M25" s="43" t="s">
        <v>130</v>
      </c>
    </row>
    <row r="26" spans="1:15" ht="5.25" customHeight="1" thickBot="1"/>
    <row r="27" spans="1:15" ht="12.75" customHeight="1">
      <c r="C27" s="24" t="s">
        <v>9</v>
      </c>
      <c r="D27" s="208">
        <v>4.8280955900000002</v>
      </c>
      <c r="E27" s="209">
        <v>0.40007814200000003</v>
      </c>
      <c r="F27" s="210">
        <v>573.08280960000002</v>
      </c>
      <c r="G27" s="305" t="str">
        <f>"EOS pounds removed per '"&amp;E3&amp;"' of practice per year"</f>
        <v>EOS pounds removed per 'acre treated' of practice per year</v>
      </c>
      <c r="H27" s="300"/>
      <c r="J27" s="24" t="s">
        <v>9</v>
      </c>
      <c r="K27" s="208">
        <v>3.0968023609999999</v>
      </c>
      <c r="L27" s="209">
        <v>0.37245161700000001</v>
      </c>
      <c r="M27" s="210">
        <v>614.12526330000003</v>
      </c>
      <c r="N27" s="305" t="str">
        <f>"delivered pounds removed per '"&amp;E3&amp;"' of practice per year"</f>
        <v>delivered pounds removed per 'acre treated' of practice per year</v>
      </c>
      <c r="O27" s="307"/>
    </row>
    <row r="28" spans="1:15">
      <c r="C28" s="24" t="s">
        <v>7</v>
      </c>
      <c r="D28" s="211">
        <v>3.0130703049999998</v>
      </c>
      <c r="E28" s="212">
        <v>0.299335503</v>
      </c>
      <c r="F28" s="213">
        <v>358.2782105</v>
      </c>
      <c r="G28" s="301"/>
      <c r="H28" s="300"/>
      <c r="J28" s="24" t="s">
        <v>7</v>
      </c>
      <c r="K28" s="211">
        <v>1.7468124869999999</v>
      </c>
      <c r="L28" s="212">
        <v>0.19048736499999999</v>
      </c>
      <c r="M28" s="213">
        <v>298.7024955</v>
      </c>
      <c r="N28" s="305"/>
      <c r="O28" s="307"/>
    </row>
    <row r="29" spans="1:15">
      <c r="C29" s="24" t="s">
        <v>8</v>
      </c>
      <c r="D29" s="211">
        <v>2.7288291939999998</v>
      </c>
      <c r="E29" s="212">
        <v>0.300728514</v>
      </c>
      <c r="F29" s="213">
        <v>387.87016219999998</v>
      </c>
      <c r="G29" s="301"/>
      <c r="H29" s="300"/>
      <c r="J29" s="24" t="s">
        <v>8</v>
      </c>
      <c r="K29" s="211">
        <v>1.7775372380000001</v>
      </c>
      <c r="L29" s="212">
        <v>0.17727436999999999</v>
      </c>
      <c r="M29" s="213">
        <v>243.28226090000001</v>
      </c>
      <c r="N29" s="305"/>
      <c r="O29" s="307"/>
    </row>
    <row r="30" spans="1:15" ht="13.5" thickBot="1">
      <c r="C30" s="24" t="s">
        <v>6</v>
      </c>
      <c r="D30" s="214">
        <v>1.6719601909999999</v>
      </c>
      <c r="E30" s="215">
        <v>0.198750804</v>
      </c>
      <c r="F30" s="216">
        <v>83.236682349999995</v>
      </c>
      <c r="G30" s="301"/>
      <c r="H30" s="300"/>
      <c r="J30" s="24" t="s">
        <v>6</v>
      </c>
      <c r="K30" s="214">
        <v>0.67244990000000004</v>
      </c>
      <c r="L30" s="215">
        <v>6.1651579999999997E-2</v>
      </c>
      <c r="M30" s="216">
        <v>36.667847960000003</v>
      </c>
      <c r="N30" s="305"/>
      <c r="O30" s="307"/>
    </row>
    <row r="31" spans="1:15" ht="13.5" thickBot="1"/>
    <row r="32" spans="1:15" s="42" customFormat="1">
      <c r="A32" s="86" t="s">
        <v>1</v>
      </c>
    </row>
    <row r="33" spans="1:12" ht="5.25" customHeight="1" thickBot="1"/>
    <row r="34" spans="1:12" ht="13.5" thickBot="1">
      <c r="C34" s="24" t="s">
        <v>11</v>
      </c>
      <c r="D34" s="46">
        <f>-PMT(D39,D38,D36)+D37</f>
        <v>1621.6</v>
      </c>
      <c r="E34" s="18" t="str">
        <f>"$ per '"&amp;E3&amp;"' of practice per year"</f>
        <v>$ per 'acre treated' of practice per year</v>
      </c>
      <c r="I34" s="82" t="s">
        <v>169</v>
      </c>
      <c r="J34" s="217" t="s">
        <v>160</v>
      </c>
      <c r="K34" s="218" t="s">
        <v>233</v>
      </c>
      <c r="L34" s="219" t="s">
        <v>165</v>
      </c>
    </row>
    <row r="35" spans="1:12" ht="5.25" customHeight="1" thickBot="1">
      <c r="C35" s="24"/>
      <c r="D35" s="47"/>
      <c r="E35" s="18"/>
      <c r="I35" s="78"/>
      <c r="J35" s="220"/>
      <c r="K35" s="220"/>
      <c r="L35" s="221"/>
    </row>
    <row r="36" spans="1:12">
      <c r="C36" s="24" t="s">
        <v>10</v>
      </c>
      <c r="D36" s="38">
        <f>J36</f>
        <v>26632</v>
      </c>
      <c r="E36" s="18" t="str">
        <f>"$ per '"&amp;E3&amp;"' of practice"</f>
        <v>$ per 'acre treated' of practice</v>
      </c>
      <c r="I36" s="78" t="s">
        <v>162</v>
      </c>
      <c r="J36" s="236">
        <v>26632</v>
      </c>
      <c r="K36" s="236"/>
      <c r="L36" s="237"/>
    </row>
    <row r="37" spans="1:12">
      <c r="C37" s="24" t="s">
        <v>12</v>
      </c>
      <c r="D37" s="39">
        <f>J37</f>
        <v>290</v>
      </c>
      <c r="E37" s="18" t="str">
        <f>"$ per '"&amp;E3&amp;"' of practice per year"</f>
        <v>$ per 'acre treated' of practice per year</v>
      </c>
      <c r="I37" s="78" t="s">
        <v>161</v>
      </c>
      <c r="J37" s="236">
        <v>290</v>
      </c>
      <c r="K37" s="236"/>
      <c r="L37" s="237"/>
    </row>
    <row r="38" spans="1:12">
      <c r="C38" s="24" t="s">
        <v>13</v>
      </c>
      <c r="D38" s="40">
        <f>J38</f>
        <v>20</v>
      </c>
      <c r="E38" s="18" t="s">
        <v>15</v>
      </c>
      <c r="I38" s="78" t="s">
        <v>163</v>
      </c>
      <c r="J38" s="245">
        <v>20</v>
      </c>
      <c r="K38" s="245"/>
      <c r="L38" s="246"/>
    </row>
    <row r="39" spans="1:12" ht="13.5" thickBot="1">
      <c r="C39" s="24" t="s">
        <v>14</v>
      </c>
      <c r="D39" s="41">
        <f>Summary!C35</f>
        <v>0</v>
      </c>
      <c r="E39" s="18" t="s">
        <v>16</v>
      </c>
      <c r="I39" s="80" t="s">
        <v>166</v>
      </c>
      <c r="J39" s="239">
        <f>J37+J36/J38</f>
        <v>1621.6</v>
      </c>
      <c r="K39" s="239"/>
      <c r="L39" s="240"/>
    </row>
    <row r="40" spans="1:12">
      <c r="F40" s="234"/>
    </row>
    <row r="41" spans="1:12" ht="12.75" customHeight="1">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A1:B1"/>
    <mergeCell ref="I41:L45"/>
    <mergeCell ref="G27:H30"/>
    <mergeCell ref="N27:O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69.xml><?xml version="1.0" encoding="utf-8"?>
<worksheet xmlns="http://schemas.openxmlformats.org/spreadsheetml/2006/main" xmlns:r="http://schemas.openxmlformats.org/officeDocument/2006/relationships">
  <sheetPr codeName="Sheet17"/>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0" style="17" bestFit="1" customWidth="1"/>
    <col min="13" max="16384" width="9.140625" style="17"/>
  </cols>
  <sheetData>
    <row r="1" spans="1:19" s="20" customFormat="1" ht="21" customHeight="1">
      <c r="A1" s="302" t="s">
        <v>136</v>
      </c>
      <c r="B1" s="303"/>
      <c r="D1" s="25" t="s">
        <v>134</v>
      </c>
      <c r="E1" s="89" t="str">
        <f>VLOOKUP($K$1,'BMP info'!A:G,3,FALSE)</f>
        <v>Street Sweeping 25 times a year-acres (formerly called Street Sweeping Mechanical Monthly)</v>
      </c>
      <c r="I1" s="22"/>
      <c r="J1" s="37" t="s">
        <v>135</v>
      </c>
      <c r="K1" s="50">
        <v>54</v>
      </c>
      <c r="L1" s="22"/>
      <c r="M1" s="22"/>
      <c r="N1" s="22"/>
      <c r="O1" s="22"/>
      <c r="P1" s="22"/>
      <c r="Q1" s="22"/>
      <c r="R1" s="22"/>
    </row>
    <row r="2" spans="1:19" s="20" customFormat="1" ht="12.75" customHeight="1">
      <c r="D2" s="48" t="s">
        <v>3</v>
      </c>
      <c r="E2" s="19" t="str">
        <f>VLOOKUP($K$1,'BMP info'!A:G,4,FALSE)</f>
        <v>StreetSweep</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efficiency applied</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43" t="s">
        <v>130</v>
      </c>
      <c r="K11" s="43" t="s">
        <v>128</v>
      </c>
      <c r="L11" s="43" t="s">
        <v>129</v>
      </c>
      <c r="M11" s="43" t="s">
        <v>130</v>
      </c>
    </row>
    <row r="12" spans="1:19" ht="5.25" customHeight="1" thickBot="1"/>
    <row r="13" spans="1:19" ht="12.75" customHeight="1">
      <c r="C13" s="24" t="s">
        <v>9</v>
      </c>
      <c r="D13" s="28">
        <f t="shared" ref="D13:F15" si="0">IF(D27*$D$34=0,"-",1000*D27/$D$34)</f>
        <v>0.56682806897993565</v>
      </c>
      <c r="E13" s="29">
        <f t="shared" si="0"/>
        <v>3.9635934121635227E-2</v>
      </c>
      <c r="F13" s="30">
        <f t="shared" si="0"/>
        <v>150.26466467371714</v>
      </c>
      <c r="G13" s="305" t="s">
        <v>254</v>
      </c>
      <c r="H13" s="300"/>
      <c r="J13" s="24" t="s">
        <v>9</v>
      </c>
      <c r="K13" s="28">
        <f t="shared" ref="K13:M16" si="1">IF(K27*$D$34=0,"-",1000*K27/$D$34)</f>
        <v>0.31488842276336904</v>
      </c>
      <c r="L13" s="29">
        <f t="shared" si="1"/>
        <v>3.5290455879712114E-2</v>
      </c>
      <c r="M13" s="30">
        <f t="shared" si="1"/>
        <v>154.10729762108298</v>
      </c>
      <c r="N13" s="305" t="s">
        <v>133</v>
      </c>
      <c r="O13" s="300"/>
    </row>
    <row r="14" spans="1:19">
      <c r="C14" s="24" t="s">
        <v>7</v>
      </c>
      <c r="D14" s="31">
        <f t="shared" si="0"/>
        <v>0.29614729880424651</v>
      </c>
      <c r="E14" s="32">
        <f t="shared" si="0"/>
        <v>3.0010307052019406E-2</v>
      </c>
      <c r="F14" s="33">
        <f t="shared" si="0"/>
        <v>64.925577386503818</v>
      </c>
      <c r="G14" s="301"/>
      <c r="H14" s="300"/>
      <c r="J14" s="24" t="s">
        <v>7</v>
      </c>
      <c r="K14" s="31">
        <f t="shared" si="1"/>
        <v>0.25712866592093397</v>
      </c>
      <c r="L14" s="32">
        <f t="shared" si="1"/>
        <v>2.661940445389285E-2</v>
      </c>
      <c r="M14" s="33">
        <f t="shared" si="1"/>
        <v>64.943668116413718</v>
      </c>
      <c r="N14" s="301"/>
      <c r="O14" s="300"/>
    </row>
    <row r="15" spans="1:19">
      <c r="C15" s="24" t="s">
        <v>8</v>
      </c>
      <c r="D15" s="31">
        <f t="shared" si="0"/>
        <v>0.24350143993776321</v>
      </c>
      <c r="E15" s="32">
        <f t="shared" si="0"/>
        <v>2.7584867001022247E-2</v>
      </c>
      <c r="F15" s="33">
        <f t="shared" si="0"/>
        <v>38.923711739263425</v>
      </c>
      <c r="G15" s="301"/>
      <c r="H15" s="300"/>
      <c r="J15" s="24" t="s">
        <v>8</v>
      </c>
      <c r="K15" s="31">
        <f t="shared" si="1"/>
        <v>0.24324619012563653</v>
      </c>
      <c r="L15" s="32">
        <f t="shared" si="1"/>
        <v>2.747496447278332E-2</v>
      </c>
      <c r="M15" s="33">
        <f t="shared" si="1"/>
        <v>40.612841510897255</v>
      </c>
      <c r="N15" s="301"/>
      <c r="O15" s="300"/>
    </row>
    <row r="16" spans="1:19" ht="13.5" thickBot="1">
      <c r="C16" s="24" t="s">
        <v>6</v>
      </c>
      <c r="D16" s="34">
        <f>IF(E30*$D$34=0,"-",1000*E30/$D$34)</f>
        <v>2.5900891123101122E-2</v>
      </c>
      <c r="E16" s="35">
        <f>IF(E30*$D$34=0,"-",1000*E30/$D$34)</f>
        <v>2.5900891123101122E-2</v>
      </c>
      <c r="F16" s="36">
        <f>IF(F30*$D$34=0,"-",1000*F30/$D$34)</f>
        <v>19.991641486026786</v>
      </c>
      <c r="G16" s="301"/>
      <c r="H16" s="300"/>
      <c r="J16" s="24" t="s">
        <v>6</v>
      </c>
      <c r="K16" s="34">
        <f t="shared" si="1"/>
        <v>0.22344353555617535</v>
      </c>
      <c r="L16" s="35">
        <f t="shared" si="1"/>
        <v>2.1976513680205929E-2</v>
      </c>
      <c r="M16" s="36">
        <f t="shared" si="1"/>
        <v>19.991641486026786</v>
      </c>
      <c r="N16" s="301"/>
      <c r="O16" s="300"/>
    </row>
    <row r="17" spans="1:15" ht="5.25" customHeight="1" thickBot="1"/>
    <row r="18" spans="1:15" s="42" customFormat="1">
      <c r="A18" s="86" t="s">
        <v>252</v>
      </c>
      <c r="D18" s="43" t="s">
        <v>128</v>
      </c>
      <c r="E18" s="43" t="s">
        <v>129</v>
      </c>
      <c r="F18" s="43" t="s">
        <v>130</v>
      </c>
      <c r="K18" s="43" t="s">
        <v>128</v>
      </c>
      <c r="L18" s="43" t="s">
        <v>129</v>
      </c>
      <c r="M18" s="43" t="s">
        <v>130</v>
      </c>
    </row>
    <row r="19" spans="1:15" ht="5.25" customHeight="1" thickBot="1"/>
    <row r="20" spans="1:15" ht="12.75" customHeight="1">
      <c r="C20" s="24" t="s">
        <v>9</v>
      </c>
      <c r="D20" s="28">
        <f t="shared" ref="D20:F23" si="2">IF(D27=0,"-",$D$34/D27)</f>
        <v>1764.2033885153235</v>
      </c>
      <c r="E20" s="29">
        <f t="shared" si="2"/>
        <v>25229.631196055278</v>
      </c>
      <c r="F20" s="30">
        <f t="shared" si="2"/>
        <v>6.6549245105054329</v>
      </c>
      <c r="G20" s="305" t="s">
        <v>253</v>
      </c>
      <c r="H20" s="300"/>
      <c r="J20" s="24" t="s">
        <v>9</v>
      </c>
      <c r="K20" s="28">
        <f t="shared" ref="K20:M23" si="3">IF(K27=0,"-",$D$34/K27)</f>
        <v>3175.7280601944376</v>
      </c>
      <c r="L20" s="29">
        <f t="shared" si="3"/>
        <v>28336.273223800519</v>
      </c>
      <c r="M20" s="30">
        <f t="shared" si="3"/>
        <v>6.4889853721190214</v>
      </c>
      <c r="N20" s="305" t="s">
        <v>132</v>
      </c>
      <c r="O20" s="300"/>
    </row>
    <row r="21" spans="1:15">
      <c r="C21" s="24" t="s">
        <v>7</v>
      </c>
      <c r="D21" s="31">
        <f t="shared" si="2"/>
        <v>3376.6980284395581</v>
      </c>
      <c r="E21" s="32">
        <f t="shared" si="2"/>
        <v>33321.884986601945</v>
      </c>
      <c r="F21" s="33">
        <f t="shared" si="2"/>
        <v>15.402250395818143</v>
      </c>
      <c r="G21" s="301"/>
      <c r="H21" s="300"/>
      <c r="J21" s="24" t="s">
        <v>7</v>
      </c>
      <c r="K21" s="31">
        <f t="shared" si="3"/>
        <v>3889.1035210655814</v>
      </c>
      <c r="L21" s="32">
        <f t="shared" si="3"/>
        <v>37566.580489510496</v>
      </c>
      <c r="M21" s="33">
        <f t="shared" si="3"/>
        <v>15.397959939796845</v>
      </c>
      <c r="N21" s="301"/>
      <c r="O21" s="300"/>
    </row>
    <row r="22" spans="1:15">
      <c r="C22" s="24" t="s">
        <v>8</v>
      </c>
      <c r="D22" s="31">
        <f t="shared" si="2"/>
        <v>4106.7518954121624</v>
      </c>
      <c r="E22" s="32">
        <f t="shared" si="2"/>
        <v>36251.760791993009</v>
      </c>
      <c r="F22" s="33">
        <f t="shared" si="2"/>
        <v>25.691280592628384</v>
      </c>
      <c r="G22" s="301"/>
      <c r="H22" s="300"/>
      <c r="J22" s="24" t="s">
        <v>8</v>
      </c>
      <c r="K22" s="31">
        <f t="shared" si="3"/>
        <v>4111.0613057639284</v>
      </c>
      <c r="L22" s="32">
        <f t="shared" si="3"/>
        <v>36396.77135854349</v>
      </c>
      <c r="M22" s="33">
        <f t="shared" si="3"/>
        <v>24.62275385807909</v>
      </c>
      <c r="N22" s="301"/>
      <c r="O22" s="300"/>
    </row>
    <row r="23" spans="1:15" ht="13.5" thickBot="1">
      <c r="C23" s="24" t="s">
        <v>6</v>
      </c>
      <c r="D23" s="34">
        <f t="shared" si="2"/>
        <v>4119.3395330779522</v>
      </c>
      <c r="E23" s="35">
        <f t="shared" si="2"/>
        <v>38608.710227274598</v>
      </c>
      <c r="F23" s="36">
        <f t="shared" si="2"/>
        <v>50.020905021678821</v>
      </c>
      <c r="G23" s="301"/>
      <c r="H23" s="300"/>
      <c r="J23" s="24" t="s">
        <v>6</v>
      </c>
      <c r="K23" s="34">
        <f t="shared" si="3"/>
        <v>4475.403584672481</v>
      </c>
      <c r="L23" s="35">
        <f t="shared" si="3"/>
        <v>45503.122767861583</v>
      </c>
      <c r="M23" s="36">
        <f t="shared" si="3"/>
        <v>50.020905021678821</v>
      </c>
      <c r="N23" s="301"/>
      <c r="O23" s="300"/>
    </row>
    <row r="24" spans="1:15" ht="13.5" thickBot="1"/>
    <row r="25" spans="1:15" s="42" customFormat="1">
      <c r="A25" s="86" t="s">
        <v>255</v>
      </c>
      <c r="D25" s="43" t="s">
        <v>128</v>
      </c>
      <c r="E25" s="43" t="s">
        <v>129</v>
      </c>
      <c r="F25" s="43" t="s">
        <v>130</v>
      </c>
      <c r="H25" s="86"/>
      <c r="K25" s="43" t="s">
        <v>128</v>
      </c>
      <c r="L25" s="43" t="s">
        <v>129</v>
      </c>
      <c r="M25" s="43" t="s">
        <v>130</v>
      </c>
    </row>
    <row r="26" spans="1:15" ht="5.25" customHeight="1" thickBot="1"/>
    <row r="27" spans="1:15" ht="12.75" customHeight="1">
      <c r="C27" s="24" t="s">
        <v>9</v>
      </c>
      <c r="D27" s="208">
        <v>0.4214083278831332</v>
      </c>
      <c r="E27" s="209">
        <v>2.9467335222729714E-2</v>
      </c>
      <c r="F27" s="210">
        <v>111.71426495167501</v>
      </c>
      <c r="G27" s="305" t="str">
        <f>"EOS pounds removed per '"&amp;E3&amp;"' of practice per year"</f>
        <v>EOS pounds removed per 'acre' of practice per year</v>
      </c>
      <c r="H27" s="300"/>
      <c r="J27" s="24" t="s">
        <v>9</v>
      </c>
      <c r="K27" s="208">
        <v>0.23410379790342672</v>
      </c>
      <c r="L27" s="209">
        <v>2.6236689423771973E-2</v>
      </c>
      <c r="M27" s="210">
        <v>114.57107041639415</v>
      </c>
      <c r="N27" s="305" t="str">
        <f>"delivered pounds removed per '"&amp;E3&amp;"' of practice per year"</f>
        <v>delivered pounds removed per 'acre' of practice per year</v>
      </c>
      <c r="O27" s="307"/>
    </row>
    <row r="28" spans="1:15">
      <c r="C28" s="24" t="s">
        <v>7</v>
      </c>
      <c r="D28" s="211">
        <v>0.22017070929601709</v>
      </c>
      <c r="E28" s="212">
        <v>2.2311162777823829E-2</v>
      </c>
      <c r="F28" s="213">
        <v>48.26892050799627</v>
      </c>
      <c r="G28" s="301"/>
      <c r="H28" s="300"/>
      <c r="J28" s="24" t="s">
        <v>7</v>
      </c>
      <c r="K28" s="211">
        <v>0.1911623066789184</v>
      </c>
      <c r="L28" s="212">
        <v>1.979019624124664E-2</v>
      </c>
      <c r="M28" s="213">
        <v>48.28237006114778</v>
      </c>
      <c r="N28" s="305"/>
      <c r="O28" s="307"/>
    </row>
    <row r="29" spans="1:15">
      <c r="C29" s="24" t="s">
        <v>8</v>
      </c>
      <c r="D29" s="211">
        <v>0.18103114552173008</v>
      </c>
      <c r="E29" s="212">
        <v>2.050796937190999E-2</v>
      </c>
      <c r="F29" s="213">
        <v>28.937833492555395</v>
      </c>
      <c r="G29" s="301"/>
      <c r="H29" s="300"/>
      <c r="J29" s="24" t="s">
        <v>8</v>
      </c>
      <c r="K29" s="211">
        <v>0.18084138004890449</v>
      </c>
      <c r="L29" s="212">
        <v>2.0426262337290762E-2</v>
      </c>
      <c r="M29" s="213">
        <v>30.193617021276566</v>
      </c>
      <c r="N29" s="305"/>
      <c r="O29" s="307"/>
    </row>
    <row r="30" spans="1:15" ht="13.5" thickBot="1">
      <c r="C30" s="24" t="s">
        <v>6</v>
      </c>
      <c r="D30" s="214">
        <v>0.1804779610979281</v>
      </c>
      <c r="E30" s="215">
        <v>1.9256017505469528E-2</v>
      </c>
      <c r="F30" s="216">
        <v>14.862785862786616</v>
      </c>
      <c r="G30" s="301"/>
      <c r="H30" s="300"/>
      <c r="J30" s="24" t="s">
        <v>6</v>
      </c>
      <c r="K30" s="214">
        <v>0.16611909650923856</v>
      </c>
      <c r="L30" s="215">
        <v>1.63384390955491E-2</v>
      </c>
      <c r="M30" s="216">
        <v>14.862785862786616</v>
      </c>
      <c r="N30" s="305"/>
      <c r="O30" s="307"/>
    </row>
    <row r="31" spans="1:15" ht="13.5" thickBot="1"/>
    <row r="32" spans="1:15" s="42" customFormat="1">
      <c r="A32" s="86" t="s">
        <v>1</v>
      </c>
    </row>
    <row r="33" spans="1:12" ht="5.25" customHeight="1" thickBot="1"/>
    <row r="34" spans="1:12" ht="13.5" thickBot="1">
      <c r="C34" s="24" t="s">
        <v>11</v>
      </c>
      <c r="D34" s="46">
        <f>-PMT(D39,D38,D36)+D37</f>
        <v>743.45</v>
      </c>
      <c r="E34" s="18" t="str">
        <f>"$ per '"&amp;E3&amp;"' of practice per year"</f>
        <v>$ per 'acre' of practice per year</v>
      </c>
      <c r="I34" s="82" t="s">
        <v>169</v>
      </c>
      <c r="J34" s="217" t="s">
        <v>160</v>
      </c>
      <c r="K34" s="218" t="s">
        <v>233</v>
      </c>
      <c r="L34" s="219" t="s">
        <v>165</v>
      </c>
    </row>
    <row r="35" spans="1:12" ht="5.25" customHeight="1" thickBot="1">
      <c r="C35" s="24"/>
      <c r="D35" s="47"/>
      <c r="E35" s="18"/>
      <c r="I35" s="78"/>
      <c r="J35" s="220"/>
      <c r="K35" s="220"/>
      <c r="L35" s="221"/>
    </row>
    <row r="36" spans="1:12">
      <c r="C36" s="24" t="s">
        <v>10</v>
      </c>
      <c r="D36" s="38">
        <f>L36</f>
        <v>6049</v>
      </c>
      <c r="E36" s="18" t="str">
        <f>"$ per '"&amp;E3&amp;"' of practice"</f>
        <v>$ per 'acre' of practice</v>
      </c>
      <c r="I36" s="78" t="s">
        <v>162</v>
      </c>
      <c r="J36" s="236">
        <v>6049</v>
      </c>
      <c r="K36" s="236">
        <v>6049</v>
      </c>
      <c r="L36" s="241">
        <f>AVERAGE(J36:K36)</f>
        <v>6049</v>
      </c>
    </row>
    <row r="37" spans="1:12">
      <c r="C37" s="24" t="s">
        <v>12</v>
      </c>
      <c r="D37" s="39">
        <f>L37</f>
        <v>441</v>
      </c>
      <c r="E37" s="18" t="str">
        <f>"$ per '"&amp;E3&amp;"' of practice per year"</f>
        <v>$ per 'acre' of practice per year</v>
      </c>
      <c r="I37" s="78" t="s">
        <v>161</v>
      </c>
      <c r="J37" s="236">
        <v>431</v>
      </c>
      <c r="K37" s="236">
        <v>451</v>
      </c>
      <c r="L37" s="241">
        <f>AVERAGE(J37:K37)</f>
        <v>441</v>
      </c>
    </row>
    <row r="38" spans="1:12">
      <c r="C38" s="24" t="s">
        <v>13</v>
      </c>
      <c r="D38" s="40">
        <f>L38</f>
        <v>20</v>
      </c>
      <c r="E38" s="18" t="s">
        <v>15</v>
      </c>
      <c r="I38" s="78" t="s">
        <v>163</v>
      </c>
      <c r="J38" s="245">
        <v>20</v>
      </c>
      <c r="K38" s="245">
        <v>20</v>
      </c>
      <c r="L38" s="247">
        <v>20</v>
      </c>
    </row>
    <row r="39" spans="1:12" ht="13.5" thickBot="1">
      <c r="C39" s="24" t="s">
        <v>14</v>
      </c>
      <c r="D39" s="41">
        <f>Summary!C35</f>
        <v>0</v>
      </c>
      <c r="E39" s="18" t="s">
        <v>16</v>
      </c>
      <c r="I39" s="80" t="s">
        <v>166</v>
      </c>
      <c r="J39" s="239">
        <f>J37+(J36/J38)</f>
        <v>733.45</v>
      </c>
      <c r="K39" s="239">
        <f>K37+(K36/K38)</f>
        <v>753.45</v>
      </c>
      <c r="L39" s="242">
        <f>L37+(L36/L38)</f>
        <v>743.45</v>
      </c>
    </row>
    <row r="40" spans="1:12">
      <c r="F40" s="234"/>
    </row>
    <row r="41" spans="1:12">
      <c r="I41" s="304" t="s">
        <v>197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A1:B1"/>
    <mergeCell ref="I41:L45"/>
    <mergeCell ref="G27:H30"/>
    <mergeCell ref="N27:O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71">
    <pageSetUpPr fitToPage="1"/>
  </sheetPr>
  <dimension ref="A1:V69"/>
  <sheetViews>
    <sheetView zoomScale="85" workbookViewId="0">
      <pane xSplit="4" ySplit="2" topLeftCell="E54" activePane="bottomRight" state="frozenSplit"/>
      <selection sqref="A1:B1"/>
      <selection pane="topRight" sqref="A1:B1"/>
      <selection pane="bottomLeft" sqref="A1:B1"/>
      <selection pane="bottomRight" activeCell="A69" sqref="A69"/>
    </sheetView>
  </sheetViews>
  <sheetFormatPr defaultRowHeight="12.75"/>
  <cols>
    <col min="1" max="1" width="7.7109375" style="1" bestFit="1" customWidth="1"/>
    <col min="2" max="2" width="9" style="1" customWidth="1"/>
    <col min="3" max="3" width="45.7109375" style="1" customWidth="1"/>
    <col min="4" max="4" width="21.140625" style="1" customWidth="1"/>
    <col min="5" max="5" width="4.28515625" style="17" customWidth="1"/>
    <col min="6" max="8" width="9.140625" style="59"/>
    <col min="9" max="9" width="20.28515625" style="1" bestFit="1" customWidth="1"/>
    <col min="10" max="10" width="4.28515625" style="17" customWidth="1"/>
    <col min="11" max="11" width="11.5703125" style="1" bestFit="1" customWidth="1"/>
    <col min="12" max="12" width="12.5703125" style="1" customWidth="1"/>
    <col min="13" max="13" width="4.28515625" style="17" customWidth="1"/>
    <col min="14" max="16" width="9.140625" style="59"/>
    <col min="17" max="17" width="8.85546875" style="1" bestFit="1" customWidth="1"/>
    <col min="18" max="18" width="4.28515625" style="17" customWidth="1"/>
    <col min="19" max="21" width="9.140625" style="59"/>
    <col min="22" max="22" width="5.5703125" style="1" bestFit="1" customWidth="1"/>
    <col min="23" max="16384" width="9.140625" style="1"/>
  </cols>
  <sheetData>
    <row r="1" spans="1:22" ht="16.5" thickBot="1">
      <c r="A1" s="294" t="s">
        <v>200</v>
      </c>
      <c r="B1" s="295"/>
      <c r="C1" s="297"/>
      <c r="D1" s="297"/>
      <c r="F1" s="294" t="s">
        <v>192</v>
      </c>
      <c r="G1" s="295"/>
      <c r="H1" s="297"/>
      <c r="I1" s="297"/>
      <c r="K1" s="294" t="s">
        <v>193</v>
      </c>
      <c r="L1" s="295"/>
      <c r="N1" s="294" t="s">
        <v>259</v>
      </c>
      <c r="O1" s="295"/>
      <c r="P1" s="295"/>
      <c r="Q1" s="296"/>
      <c r="S1" s="294" t="s">
        <v>194</v>
      </c>
      <c r="T1" s="295"/>
      <c r="U1" s="295"/>
      <c r="V1" s="296"/>
    </row>
    <row r="2" spans="1:22" s="60" customFormat="1" ht="13.5" thickBot="1">
      <c r="A2" s="121" t="s">
        <v>0</v>
      </c>
      <c r="B2" s="122" t="s">
        <v>68</v>
      </c>
      <c r="C2" s="123" t="s">
        <v>71</v>
      </c>
      <c r="D2" s="124" t="s">
        <v>72</v>
      </c>
      <c r="E2" s="18"/>
      <c r="F2" s="117" t="s">
        <v>181</v>
      </c>
      <c r="G2" s="118" t="s">
        <v>182</v>
      </c>
      <c r="H2" s="118" t="s">
        <v>183</v>
      </c>
      <c r="I2" s="119" t="s">
        <v>79</v>
      </c>
      <c r="J2" s="18"/>
      <c r="K2" s="120" t="s">
        <v>191</v>
      </c>
      <c r="L2" s="119" t="s">
        <v>79</v>
      </c>
      <c r="M2" s="18"/>
      <c r="N2" s="117" t="s">
        <v>181</v>
      </c>
      <c r="O2" s="118" t="s">
        <v>182</v>
      </c>
      <c r="P2" s="118" t="s">
        <v>183</v>
      </c>
      <c r="Q2" s="119" t="s">
        <v>79</v>
      </c>
      <c r="R2" s="18"/>
      <c r="S2" s="117" t="s">
        <v>181</v>
      </c>
      <c r="T2" s="118" t="s">
        <v>182</v>
      </c>
      <c r="U2" s="118" t="s">
        <v>183</v>
      </c>
      <c r="V2" s="119" t="s">
        <v>79</v>
      </c>
    </row>
    <row r="3" spans="1:22" ht="33.75">
      <c r="A3" s="7">
        <v>1</v>
      </c>
      <c r="B3" s="11" t="s">
        <v>60</v>
      </c>
      <c r="C3" s="71" t="s">
        <v>115</v>
      </c>
      <c r="D3" s="125" t="s">
        <v>116</v>
      </c>
      <c r="F3" s="69">
        <f>'1'!L$30</f>
        <v>0</v>
      </c>
      <c r="G3" s="70">
        <f>'1'!L$29</f>
        <v>0</v>
      </c>
      <c r="H3" s="70">
        <f>'1'!L$27</f>
        <v>0</v>
      </c>
      <c r="I3" s="115" t="str">
        <f>"pounds of TP reduced
per "&amp;'BMP info'!E2&amp;"
per year"</f>
        <v>pounds of TP reduced
per animal unit
per year</v>
      </c>
      <c r="J3" s="83"/>
      <c r="K3" s="104">
        <f>'1'!D$34</f>
        <v>5</v>
      </c>
      <c r="L3" s="115" t="str">
        <f>"per "&amp;'BMP info'!E2&amp;"
per year"</f>
        <v>per animal unit
per year</v>
      </c>
      <c r="M3" s="83"/>
      <c r="N3" s="76">
        <f t="shared" ref="N3:N31" si="0">IF($K3=0,"-",1000*F3/$K3)</f>
        <v>0</v>
      </c>
      <c r="O3" s="77">
        <f t="shared" ref="O3:O31" si="1">IF($K3=0,"-",1000*G3/$K3)</f>
        <v>0</v>
      </c>
      <c r="P3" s="77">
        <f t="shared" ref="P3:P31" si="2">IF($K3=0,"-",1000*H3/$K3)</f>
        <v>0</v>
      </c>
      <c r="Q3" s="115" t="s">
        <v>137</v>
      </c>
      <c r="R3" s="83"/>
      <c r="S3" s="106" t="str">
        <f t="shared" ref="S3:S34" si="3">IF($K3*H3=0,"-",$K3/H3)</f>
        <v>-</v>
      </c>
      <c r="T3" s="107" t="str">
        <f t="shared" ref="T3:T34" si="4">IF($K3*G3=0,"-",$K3/G3)</f>
        <v>-</v>
      </c>
      <c r="U3" s="107" t="str">
        <f t="shared" ref="U3:U34" si="5">IF($K3*F3=0,"-",$K3/F3)</f>
        <v>-</v>
      </c>
      <c r="V3" s="115" t="s">
        <v>190</v>
      </c>
    </row>
    <row r="4" spans="1:22" ht="33.75">
      <c r="A4" s="8">
        <v>2</v>
      </c>
      <c r="B4" s="12" t="s">
        <v>60</v>
      </c>
      <c r="C4" s="71" t="s">
        <v>75</v>
      </c>
      <c r="D4" s="66" t="s">
        <v>76</v>
      </c>
      <c r="F4" s="69">
        <f>'2'!L$30</f>
        <v>0</v>
      </c>
      <c r="G4" s="70">
        <f>'2'!L$29</f>
        <v>0</v>
      </c>
      <c r="H4" s="70">
        <f>'2'!L$27</f>
        <v>0</v>
      </c>
      <c r="I4" s="115" t="str">
        <f>"pounds of TP reduced
per "&amp;'BMP info'!E3&amp;"
per year"</f>
        <v>pounds of TP reduced
per animal unit
per year</v>
      </c>
      <c r="J4" s="83"/>
      <c r="K4" s="104">
        <f>'2'!D$34</f>
        <v>23.2</v>
      </c>
      <c r="L4" s="115" t="str">
        <f>"per "&amp;'BMP info'!E3&amp;"
per year"</f>
        <v>per animal unit
per year</v>
      </c>
      <c r="M4" s="83"/>
      <c r="N4" s="76">
        <f t="shared" si="0"/>
        <v>0</v>
      </c>
      <c r="O4" s="77">
        <f t="shared" si="1"/>
        <v>0</v>
      </c>
      <c r="P4" s="77">
        <f t="shared" si="2"/>
        <v>0</v>
      </c>
      <c r="Q4" s="115" t="s">
        <v>137</v>
      </c>
      <c r="R4" s="83"/>
      <c r="S4" s="106" t="str">
        <f t="shared" si="3"/>
        <v>-</v>
      </c>
      <c r="T4" s="107" t="str">
        <f t="shared" si="4"/>
        <v>-</v>
      </c>
      <c r="U4" s="107" t="str">
        <f t="shared" si="5"/>
        <v>-</v>
      </c>
      <c r="V4" s="115" t="s">
        <v>190</v>
      </c>
    </row>
    <row r="5" spans="1:22" ht="33.75">
      <c r="A5" s="8">
        <v>3</v>
      </c>
      <c r="B5" s="12" t="s">
        <v>60</v>
      </c>
      <c r="C5" s="27" t="s">
        <v>77</v>
      </c>
      <c r="D5" s="66" t="s">
        <v>78</v>
      </c>
      <c r="F5" s="73">
        <f>'3'!L$30</f>
        <v>0.47</v>
      </c>
      <c r="G5" s="74">
        <f>'3'!L$29</f>
        <v>2.13</v>
      </c>
      <c r="H5" s="74">
        <f>'3'!L$27</f>
        <v>4.21</v>
      </c>
      <c r="I5" s="115" t="str">
        <f>"pounds of TP reduced
per "&amp;'BMP info'!E4&amp;"
per year"</f>
        <v>pounds of TP reduced
per acre
per year</v>
      </c>
      <c r="J5" s="83"/>
      <c r="K5" s="103">
        <f>'3'!D$34</f>
        <v>570</v>
      </c>
      <c r="L5" s="115" t="str">
        <f>"per "&amp;'BMP info'!E4&amp;"
per year"</f>
        <v>per acre
per year</v>
      </c>
      <c r="M5" s="83"/>
      <c r="N5" s="62">
        <f t="shared" si="0"/>
        <v>0.82456140350877194</v>
      </c>
      <c r="O5" s="63">
        <f t="shared" si="1"/>
        <v>3.736842105263158</v>
      </c>
      <c r="P5" s="63">
        <f t="shared" si="2"/>
        <v>7.3859649122807021</v>
      </c>
      <c r="Q5" s="115" t="s">
        <v>137</v>
      </c>
      <c r="R5" s="83"/>
      <c r="S5" s="108">
        <f t="shared" si="3"/>
        <v>135.39192399049881</v>
      </c>
      <c r="T5" s="109">
        <f t="shared" si="4"/>
        <v>267.6056338028169</v>
      </c>
      <c r="U5" s="109">
        <f t="shared" si="5"/>
        <v>1212.7659574468087</v>
      </c>
      <c r="V5" s="115" t="s">
        <v>190</v>
      </c>
    </row>
    <row r="6" spans="1:22" ht="33.75">
      <c r="A6" s="8">
        <v>4</v>
      </c>
      <c r="B6" s="12" t="s">
        <v>60</v>
      </c>
      <c r="C6" s="71" t="s">
        <v>98</v>
      </c>
      <c r="D6" s="66" t="s">
        <v>99</v>
      </c>
      <c r="F6" s="73">
        <f>'4'!L$30</f>
        <v>27.37</v>
      </c>
      <c r="G6" s="74">
        <f>'4'!L$29</f>
        <v>32.450000000000003</v>
      </c>
      <c r="H6" s="74">
        <f>'4'!L$27</f>
        <v>40.119999999999997</v>
      </c>
      <c r="I6" s="115" t="str">
        <f>"pounds of TP reduced
per "&amp;'BMP info'!E5&amp;"
per year"</f>
        <v>pounds of TP reduced
per acre
per year</v>
      </c>
      <c r="J6" s="83"/>
      <c r="K6" s="104">
        <f>'4'!D$34</f>
        <v>500</v>
      </c>
      <c r="L6" s="115" t="str">
        <f>"per "&amp;'BMP info'!E5&amp;"
per year"</f>
        <v>per acre
per year</v>
      </c>
      <c r="M6" s="83"/>
      <c r="N6" s="84">
        <f t="shared" si="0"/>
        <v>54.74</v>
      </c>
      <c r="O6" s="85">
        <f t="shared" si="1"/>
        <v>64.900000000000006</v>
      </c>
      <c r="P6" s="85">
        <f t="shared" si="2"/>
        <v>80.239999999999995</v>
      </c>
      <c r="Q6" s="115" t="s">
        <v>137</v>
      </c>
      <c r="R6" s="83"/>
      <c r="S6" s="110">
        <f t="shared" si="3"/>
        <v>12.462612163509473</v>
      </c>
      <c r="T6" s="111">
        <f t="shared" si="4"/>
        <v>15.408320493066254</v>
      </c>
      <c r="U6" s="111">
        <f t="shared" si="5"/>
        <v>18.26817683595177</v>
      </c>
      <c r="V6" s="115" t="s">
        <v>190</v>
      </c>
    </row>
    <row r="7" spans="1:22" ht="33.75">
      <c r="A7" s="8">
        <v>5</v>
      </c>
      <c r="B7" s="12" t="s">
        <v>60</v>
      </c>
      <c r="C7" s="71" t="s">
        <v>73</v>
      </c>
      <c r="D7" s="66" t="s">
        <v>74</v>
      </c>
      <c r="F7" s="73">
        <f>'5'!L$30</f>
        <v>0.46</v>
      </c>
      <c r="G7" s="74">
        <f>'5'!L$29</f>
        <v>0.46</v>
      </c>
      <c r="H7" s="74">
        <f>'5'!L$27</f>
        <v>0.57999999999999996</v>
      </c>
      <c r="I7" s="115" t="str">
        <f>"pounds of TP reduced
per "&amp;'BMP info'!E6&amp;"
per year"</f>
        <v>pounds of TP reduced
per acre
per year</v>
      </c>
      <c r="J7" s="83"/>
      <c r="K7" s="104">
        <f>'5'!D$34</f>
        <v>18.100000000000001</v>
      </c>
      <c r="L7" s="115" t="str">
        <f>"per "&amp;'BMP info'!E6&amp;"
per year"</f>
        <v>per acre
per year</v>
      </c>
      <c r="M7" s="83"/>
      <c r="N7" s="84">
        <f t="shared" si="0"/>
        <v>25.414364640883974</v>
      </c>
      <c r="O7" s="85">
        <f t="shared" si="1"/>
        <v>25.414364640883974</v>
      </c>
      <c r="P7" s="85">
        <f t="shared" si="2"/>
        <v>32.04419889502762</v>
      </c>
      <c r="Q7" s="115" t="s">
        <v>137</v>
      </c>
      <c r="R7" s="83"/>
      <c r="S7" s="110">
        <f t="shared" si="3"/>
        <v>31.206896551724142</v>
      </c>
      <c r="T7" s="111">
        <f t="shared" si="4"/>
        <v>39.347826086956523</v>
      </c>
      <c r="U7" s="111">
        <f t="shared" si="5"/>
        <v>39.347826086956523</v>
      </c>
      <c r="V7" s="115" t="s">
        <v>190</v>
      </c>
    </row>
    <row r="8" spans="1:22" ht="33.75">
      <c r="A8" s="8">
        <v>6</v>
      </c>
      <c r="B8" s="12" t="s">
        <v>60</v>
      </c>
      <c r="C8" s="71" t="s">
        <v>94</v>
      </c>
      <c r="D8" s="66" t="s">
        <v>95</v>
      </c>
      <c r="F8" s="73">
        <f>'6'!L$30</f>
        <v>28.45</v>
      </c>
      <c r="G8" s="74">
        <f>'6'!L$29</f>
        <v>37.5</v>
      </c>
      <c r="H8" s="74">
        <f>'6'!L$27</f>
        <v>73.16</v>
      </c>
      <c r="I8" s="115" t="str">
        <f>"pounds of TP reduced
per "&amp;'BMP info'!E7&amp;"
per year"</f>
        <v>pounds of TP reduced
per acre
per year</v>
      </c>
      <c r="J8" s="83"/>
      <c r="K8" s="104">
        <f>'6'!D$34</f>
        <v>350</v>
      </c>
      <c r="L8" s="115" t="str">
        <f>"per "&amp;'BMP info'!E7&amp;"
per year"</f>
        <v>per acre
per year</v>
      </c>
      <c r="M8" s="83"/>
      <c r="N8" s="84">
        <f t="shared" si="0"/>
        <v>81.285714285714292</v>
      </c>
      <c r="O8" s="85">
        <f t="shared" si="1"/>
        <v>107.14285714285714</v>
      </c>
      <c r="P8" s="85">
        <f t="shared" si="2"/>
        <v>209.02857142857144</v>
      </c>
      <c r="Q8" s="115" t="s">
        <v>137</v>
      </c>
      <c r="R8" s="83"/>
      <c r="S8" s="110">
        <f t="shared" si="3"/>
        <v>4.784034991798797</v>
      </c>
      <c r="T8" s="111">
        <f t="shared" si="4"/>
        <v>9.3333333333333339</v>
      </c>
      <c r="U8" s="111">
        <f t="shared" si="5"/>
        <v>12.302284710017576</v>
      </c>
      <c r="V8" s="115" t="s">
        <v>190</v>
      </c>
    </row>
    <row r="9" spans="1:22" ht="33.75">
      <c r="A9" s="8">
        <v>7</v>
      </c>
      <c r="B9" s="12" t="s">
        <v>60</v>
      </c>
      <c r="C9" s="71" t="s">
        <v>123</v>
      </c>
      <c r="D9" s="66" t="s">
        <v>124</v>
      </c>
      <c r="F9" s="73">
        <f>'7'!L$30</f>
        <v>0.03</v>
      </c>
      <c r="G9" s="74">
        <f>'7'!L$29</f>
        <v>0.06</v>
      </c>
      <c r="H9" s="74">
        <f>'7'!L$27</f>
        <v>0.1</v>
      </c>
      <c r="I9" s="115" t="str">
        <f>"pounds of TP reduced
per "&amp;'BMP info'!E8&amp;"
per year"</f>
        <v>pounds of TP reduced
per acre
per year</v>
      </c>
      <c r="J9" s="83"/>
      <c r="K9" s="103">
        <f>'7'!D$34</f>
        <v>45</v>
      </c>
      <c r="L9" s="115" t="str">
        <f>"per "&amp;'BMP info'!E8&amp;"
per year"</f>
        <v>per acre
per year</v>
      </c>
      <c r="M9" s="83"/>
      <c r="N9" s="62">
        <f t="shared" si="0"/>
        <v>0.66666666666666663</v>
      </c>
      <c r="O9" s="63">
        <f t="shared" si="1"/>
        <v>1.3333333333333333</v>
      </c>
      <c r="P9" s="63">
        <f t="shared" si="2"/>
        <v>2.2222222222222223</v>
      </c>
      <c r="Q9" s="115" t="s">
        <v>137</v>
      </c>
      <c r="R9" s="83"/>
      <c r="S9" s="108">
        <f t="shared" si="3"/>
        <v>450</v>
      </c>
      <c r="T9" s="109">
        <f t="shared" si="4"/>
        <v>750</v>
      </c>
      <c r="U9" s="109">
        <f t="shared" si="5"/>
        <v>1500</v>
      </c>
      <c r="V9" s="115" t="s">
        <v>190</v>
      </c>
    </row>
    <row r="10" spans="1:22" ht="33.75">
      <c r="A10" s="8">
        <v>8</v>
      </c>
      <c r="B10" s="12" t="s">
        <v>60</v>
      </c>
      <c r="C10" s="71" t="s">
        <v>188</v>
      </c>
      <c r="D10" s="66" t="s">
        <v>187</v>
      </c>
      <c r="F10" s="73">
        <f>'8'!L$30</f>
        <v>0.01</v>
      </c>
      <c r="G10" s="74">
        <f>'8'!L$29</f>
        <v>0.03</v>
      </c>
      <c r="H10" s="74">
        <f>'8'!L$27</f>
        <v>7.0000000000000007E-2</v>
      </c>
      <c r="I10" s="115" t="str">
        <f>"pounds of TP reduced
per "&amp;'BMP info'!E9&amp;"
per year"</f>
        <v>pounds of TP reduced
per acre
per year</v>
      </c>
      <c r="J10" s="83"/>
      <c r="K10" s="103">
        <f>'8'!D$34</f>
        <v>23</v>
      </c>
      <c r="L10" s="115" t="str">
        <f>"per "&amp;'BMP info'!E9&amp;"
per year"</f>
        <v>per acre
per year</v>
      </c>
      <c r="M10" s="83"/>
      <c r="N10" s="62">
        <f t="shared" si="0"/>
        <v>0.43478260869565216</v>
      </c>
      <c r="O10" s="63">
        <f t="shared" si="1"/>
        <v>1.3043478260869565</v>
      </c>
      <c r="P10" s="63">
        <f t="shared" si="2"/>
        <v>3.0434782608695654</v>
      </c>
      <c r="Q10" s="115" t="s">
        <v>137</v>
      </c>
      <c r="R10" s="83"/>
      <c r="S10" s="108">
        <f t="shared" si="3"/>
        <v>328.57142857142856</v>
      </c>
      <c r="T10" s="109">
        <f t="shared" si="4"/>
        <v>766.66666666666674</v>
      </c>
      <c r="U10" s="109">
        <f t="shared" si="5"/>
        <v>2300</v>
      </c>
      <c r="V10" s="115" t="s">
        <v>190</v>
      </c>
    </row>
    <row r="11" spans="1:22" ht="33.75">
      <c r="A11" s="8">
        <v>9</v>
      </c>
      <c r="B11" s="12" t="s">
        <v>60</v>
      </c>
      <c r="C11" s="71" t="s">
        <v>80</v>
      </c>
      <c r="D11" s="66" t="s">
        <v>81</v>
      </c>
      <c r="F11" s="73">
        <f>'9'!L$30</f>
        <v>0.01</v>
      </c>
      <c r="G11" s="74">
        <f>'9'!L$29</f>
        <v>0.01</v>
      </c>
      <c r="H11" s="74">
        <f>'9'!L$27</f>
        <v>0.03</v>
      </c>
      <c r="I11" s="115" t="str">
        <f>"pounds of TP reduced
per "&amp;'BMP info'!E10&amp;"
per year"</f>
        <v>pounds of TP reduced
per acre
per year</v>
      </c>
      <c r="J11" s="83"/>
      <c r="K11" s="103">
        <f>'9'!D$34</f>
        <v>50.42</v>
      </c>
      <c r="L11" s="115" t="str">
        <f>"per "&amp;'BMP info'!E10&amp;"
per year"</f>
        <v>per acre
per year</v>
      </c>
      <c r="M11" s="83"/>
      <c r="N11" s="62">
        <f t="shared" si="0"/>
        <v>0.19833399444664815</v>
      </c>
      <c r="O11" s="63">
        <f t="shared" si="1"/>
        <v>0.19833399444664815</v>
      </c>
      <c r="P11" s="63">
        <f t="shared" si="2"/>
        <v>0.59500198333994447</v>
      </c>
      <c r="Q11" s="115" t="s">
        <v>137</v>
      </c>
      <c r="R11" s="83"/>
      <c r="S11" s="108">
        <f t="shared" si="3"/>
        <v>1680.6666666666667</v>
      </c>
      <c r="T11" s="109">
        <f t="shared" si="4"/>
        <v>5042</v>
      </c>
      <c r="U11" s="109">
        <f t="shared" si="5"/>
        <v>5042</v>
      </c>
      <c r="V11" s="115" t="s">
        <v>190</v>
      </c>
    </row>
    <row r="12" spans="1:22" ht="33.75">
      <c r="A12" s="8">
        <v>10</v>
      </c>
      <c r="B12" s="12" t="s">
        <v>60</v>
      </c>
      <c r="C12" s="71" t="s">
        <v>82</v>
      </c>
      <c r="D12" s="66" t="s">
        <v>83</v>
      </c>
      <c r="F12" s="73">
        <f>'10'!L$30</f>
        <v>0</v>
      </c>
      <c r="G12" s="74">
        <f>'10'!L$29</f>
        <v>0</v>
      </c>
      <c r="H12" s="74">
        <f>'10'!L$27</f>
        <v>0</v>
      </c>
      <c r="I12" s="115" t="str">
        <f>"pounds of TP reduced
per "&amp;'BMP info'!E11&amp;"
per year"</f>
        <v>pounds of TP reduced
per acre
per year</v>
      </c>
      <c r="J12" s="83"/>
      <c r="K12" s="103">
        <f>'10'!D$34</f>
        <v>960</v>
      </c>
      <c r="L12" s="115" t="str">
        <f>"per "&amp;'BMP info'!E11&amp;"
per year"</f>
        <v>per acre
per year</v>
      </c>
      <c r="M12" s="83"/>
      <c r="N12" s="62">
        <f t="shared" si="0"/>
        <v>0</v>
      </c>
      <c r="O12" s="63">
        <f t="shared" si="1"/>
        <v>0</v>
      </c>
      <c r="P12" s="63">
        <f t="shared" si="2"/>
        <v>0</v>
      </c>
      <c r="Q12" s="115" t="s">
        <v>137</v>
      </c>
      <c r="R12" s="83"/>
      <c r="S12" s="108" t="str">
        <f t="shared" si="3"/>
        <v>-</v>
      </c>
      <c r="T12" s="109" t="str">
        <f t="shared" si="4"/>
        <v>-</v>
      </c>
      <c r="U12" s="109" t="str">
        <f t="shared" si="5"/>
        <v>-</v>
      </c>
      <c r="V12" s="115" t="s">
        <v>190</v>
      </c>
    </row>
    <row r="13" spans="1:22" ht="33.75">
      <c r="A13" s="8">
        <v>11</v>
      </c>
      <c r="B13" s="12" t="s">
        <v>60</v>
      </c>
      <c r="C13" s="71" t="s">
        <v>86</v>
      </c>
      <c r="D13" s="66" t="s">
        <v>87</v>
      </c>
      <c r="F13" s="73">
        <f>'11'!L$30</f>
        <v>0.01</v>
      </c>
      <c r="G13" s="74">
        <f>'11'!L$29</f>
        <v>0.04</v>
      </c>
      <c r="H13" s="74">
        <f>'11'!L$27</f>
        <v>0.16</v>
      </c>
      <c r="I13" s="115" t="str">
        <f>"pounds of TP reduced
per "&amp;'BMP info'!E12&amp;"
per year"</f>
        <v>pounds of TP reduced
per acre
per year</v>
      </c>
      <c r="J13" s="83"/>
      <c r="K13" s="103">
        <f>'11'!D$34</f>
        <v>13.712</v>
      </c>
      <c r="L13" s="115" t="str">
        <f>"per "&amp;'BMP info'!E12&amp;"
per year"</f>
        <v>per acre
per year</v>
      </c>
      <c r="M13" s="83"/>
      <c r="N13" s="62">
        <f t="shared" si="0"/>
        <v>0.72928821470245042</v>
      </c>
      <c r="O13" s="63">
        <f t="shared" si="1"/>
        <v>2.9171528588098017</v>
      </c>
      <c r="P13" s="63">
        <f t="shared" si="2"/>
        <v>11.668611435239207</v>
      </c>
      <c r="Q13" s="115" t="s">
        <v>137</v>
      </c>
      <c r="R13" s="83"/>
      <c r="S13" s="108">
        <f t="shared" si="3"/>
        <v>85.7</v>
      </c>
      <c r="T13" s="109">
        <f t="shared" si="4"/>
        <v>342.8</v>
      </c>
      <c r="U13" s="109">
        <f t="shared" si="5"/>
        <v>1371.2</v>
      </c>
      <c r="V13" s="115" t="s">
        <v>190</v>
      </c>
    </row>
    <row r="14" spans="1:22" ht="33.75">
      <c r="A14" s="8">
        <v>12</v>
      </c>
      <c r="B14" s="12" t="s">
        <v>60</v>
      </c>
      <c r="C14" s="71" t="s">
        <v>65</v>
      </c>
      <c r="D14" s="66" t="s">
        <v>125</v>
      </c>
      <c r="F14" s="73">
        <f>'12'!L$30</f>
        <v>0.15</v>
      </c>
      <c r="G14" s="74">
        <f>'12'!L$29</f>
        <v>0.39</v>
      </c>
      <c r="H14" s="74">
        <f>'12'!L$27</f>
        <v>0.83</v>
      </c>
      <c r="I14" s="115" t="str">
        <f>"pounds of TP reduced
per "&amp;'BMP info'!E13&amp;"
per year"</f>
        <v>pounds of TP reduced
per acre
per year</v>
      </c>
      <c r="J14" s="83"/>
      <c r="K14" s="103">
        <f>'12'!D$34</f>
        <v>125</v>
      </c>
      <c r="L14" s="115" t="str">
        <f>"per "&amp;'BMP info'!E13&amp;"
per year"</f>
        <v>per acre
per year</v>
      </c>
      <c r="M14" s="83"/>
      <c r="N14" s="62">
        <f t="shared" si="0"/>
        <v>1.2</v>
      </c>
      <c r="O14" s="63">
        <f t="shared" si="1"/>
        <v>3.12</v>
      </c>
      <c r="P14" s="63">
        <f t="shared" si="2"/>
        <v>6.64</v>
      </c>
      <c r="Q14" s="115" t="s">
        <v>137</v>
      </c>
      <c r="R14" s="83"/>
      <c r="S14" s="108">
        <f t="shared" si="3"/>
        <v>150.60240963855424</v>
      </c>
      <c r="T14" s="109">
        <f t="shared" si="4"/>
        <v>320.5128205128205</v>
      </c>
      <c r="U14" s="109">
        <f t="shared" si="5"/>
        <v>833.33333333333337</v>
      </c>
      <c r="V14" s="115" t="s">
        <v>190</v>
      </c>
    </row>
    <row r="15" spans="1:22" ht="33.75">
      <c r="A15" s="8">
        <v>13</v>
      </c>
      <c r="B15" s="12" t="s">
        <v>60</v>
      </c>
      <c r="C15" s="71" t="s">
        <v>88</v>
      </c>
      <c r="D15" s="66" t="s">
        <v>89</v>
      </c>
      <c r="F15" s="73">
        <f>'13'!L$30</f>
        <v>0.01</v>
      </c>
      <c r="G15" s="74">
        <f>'13'!L$29</f>
        <v>0.04</v>
      </c>
      <c r="H15" s="74">
        <f>'13'!L$27</f>
        <v>0.17</v>
      </c>
      <c r="I15" s="115" t="str">
        <f>"pounds of TP reduced
per "&amp;'BMP info'!E14&amp;"
per year"</f>
        <v>pounds of TP reduced
per acre
per year</v>
      </c>
      <c r="J15" s="83"/>
      <c r="K15" s="103">
        <f>'13'!D$34</f>
        <v>10</v>
      </c>
      <c r="L15" s="115" t="str">
        <f>"per "&amp;'BMP info'!E14&amp;"
per year"</f>
        <v>per acre
per year</v>
      </c>
      <c r="M15" s="83"/>
      <c r="N15" s="62">
        <f t="shared" si="0"/>
        <v>1</v>
      </c>
      <c r="O15" s="63">
        <f t="shared" si="1"/>
        <v>4</v>
      </c>
      <c r="P15" s="63">
        <f t="shared" si="2"/>
        <v>17</v>
      </c>
      <c r="Q15" s="115" t="s">
        <v>137</v>
      </c>
      <c r="R15" s="83"/>
      <c r="S15" s="108">
        <f t="shared" si="3"/>
        <v>58.823529411764703</v>
      </c>
      <c r="T15" s="109">
        <f t="shared" si="4"/>
        <v>250</v>
      </c>
      <c r="U15" s="109">
        <f t="shared" si="5"/>
        <v>1000</v>
      </c>
      <c r="V15" s="115" t="s">
        <v>190</v>
      </c>
    </row>
    <row r="16" spans="1:22" ht="33.75">
      <c r="A16" s="8">
        <v>14</v>
      </c>
      <c r="B16" s="12" t="s">
        <v>60</v>
      </c>
      <c r="C16" s="71" t="s">
        <v>90</v>
      </c>
      <c r="D16" s="66" t="s">
        <v>91</v>
      </c>
      <c r="F16" s="73">
        <f>'14'!L$30</f>
        <v>0.46</v>
      </c>
      <c r="G16" s="74">
        <f>'14'!L$29</f>
        <v>1.22</v>
      </c>
      <c r="H16" s="74">
        <f>'14'!L$27</f>
        <v>3.69</v>
      </c>
      <c r="I16" s="115" t="str">
        <f>"pounds of TP reduced
per "&amp;'BMP info'!E15&amp;"
per year"</f>
        <v>pounds of TP reduced
per acre
per year</v>
      </c>
      <c r="J16" s="83"/>
      <c r="K16" s="103">
        <f>'14'!D$34</f>
        <v>353</v>
      </c>
      <c r="L16" s="115" t="str">
        <f>"per "&amp;'BMP info'!E15&amp;"
per year"</f>
        <v>per acre
per year</v>
      </c>
      <c r="M16" s="83"/>
      <c r="N16" s="62">
        <f t="shared" si="0"/>
        <v>1.3031161473087818</v>
      </c>
      <c r="O16" s="63">
        <f t="shared" si="1"/>
        <v>3.4560906515580738</v>
      </c>
      <c r="P16" s="63">
        <f t="shared" si="2"/>
        <v>10.453257790368271</v>
      </c>
      <c r="Q16" s="115" t="s">
        <v>137</v>
      </c>
      <c r="R16" s="83"/>
      <c r="S16" s="108">
        <f t="shared" si="3"/>
        <v>95.663956639566393</v>
      </c>
      <c r="T16" s="109">
        <f t="shared" si="4"/>
        <v>289.34426229508199</v>
      </c>
      <c r="U16" s="109">
        <f t="shared" si="5"/>
        <v>767.39130434782601</v>
      </c>
      <c r="V16" s="115" t="s">
        <v>190</v>
      </c>
    </row>
    <row r="17" spans="1:22" ht="33.75">
      <c r="A17" s="8">
        <v>15</v>
      </c>
      <c r="B17" s="12" t="s">
        <v>60</v>
      </c>
      <c r="C17" s="71" t="s">
        <v>92</v>
      </c>
      <c r="D17" s="66" t="s">
        <v>93</v>
      </c>
      <c r="F17" s="73">
        <f>'15'!L$30</f>
        <v>0.72</v>
      </c>
      <c r="G17" s="74">
        <f>'15'!L$29</f>
        <v>1.1200000000000001</v>
      </c>
      <c r="H17" s="74">
        <f>'15'!L$27</f>
        <v>2.34</v>
      </c>
      <c r="I17" s="115" t="str">
        <f>"pounds of TP reduced
per "&amp;'BMP info'!E16&amp;"
per year"</f>
        <v>pounds of TP reduced
per acre
per year</v>
      </c>
      <c r="J17" s="83"/>
      <c r="K17" s="103">
        <f>'15'!D$34</f>
        <v>210.56666666666666</v>
      </c>
      <c r="L17" s="115" t="str">
        <f>"per "&amp;'BMP info'!E16&amp;"
per year"</f>
        <v>per acre
per year</v>
      </c>
      <c r="M17" s="83"/>
      <c r="N17" s="62">
        <f t="shared" si="0"/>
        <v>3.4193446256134243</v>
      </c>
      <c r="O17" s="63">
        <f t="shared" si="1"/>
        <v>5.3189805287319931</v>
      </c>
      <c r="P17" s="63">
        <f t="shared" si="2"/>
        <v>11.112870033243629</v>
      </c>
      <c r="Q17" s="115" t="s">
        <v>137</v>
      </c>
      <c r="R17" s="83"/>
      <c r="S17" s="108">
        <f t="shared" si="3"/>
        <v>89.985754985754994</v>
      </c>
      <c r="T17" s="109">
        <f t="shared" si="4"/>
        <v>188.00595238095235</v>
      </c>
      <c r="U17" s="109">
        <f t="shared" si="5"/>
        <v>292.4537037037037</v>
      </c>
      <c r="V17" s="115" t="s">
        <v>190</v>
      </c>
    </row>
    <row r="18" spans="1:22" ht="33.75">
      <c r="A18" s="8">
        <v>16</v>
      </c>
      <c r="B18" s="12" t="s">
        <v>60</v>
      </c>
      <c r="C18" s="71" t="s">
        <v>96</v>
      </c>
      <c r="D18" s="66" t="s">
        <v>97</v>
      </c>
      <c r="F18" s="73">
        <f>'16'!L$30</f>
        <v>0.01</v>
      </c>
      <c r="G18" s="74">
        <f>'16'!L$29</f>
        <v>0.08</v>
      </c>
      <c r="H18" s="74">
        <f>'16'!L$27</f>
        <v>0.13</v>
      </c>
      <c r="I18" s="115" t="str">
        <f>"pounds of TP reduced
per "&amp;'BMP info'!E17&amp;"
per year"</f>
        <v>pounds of TP reduced
per acre
per year</v>
      </c>
      <c r="J18" s="83"/>
      <c r="K18" s="103">
        <f>'16'!D$34</f>
        <v>600</v>
      </c>
      <c r="L18" s="115" t="str">
        <f>"per "&amp;'BMP info'!E17&amp;"
per year"</f>
        <v>per acre
per year</v>
      </c>
      <c r="M18" s="83"/>
      <c r="N18" s="62">
        <f t="shared" si="0"/>
        <v>1.6666666666666666E-2</v>
      </c>
      <c r="O18" s="63">
        <f t="shared" si="1"/>
        <v>0.13333333333333333</v>
      </c>
      <c r="P18" s="63">
        <f t="shared" si="2"/>
        <v>0.21666666666666667</v>
      </c>
      <c r="Q18" s="115" t="s">
        <v>137</v>
      </c>
      <c r="R18" s="83"/>
      <c r="S18" s="108">
        <f t="shared" si="3"/>
        <v>4615.3846153846152</v>
      </c>
      <c r="T18" s="109">
        <f t="shared" si="4"/>
        <v>7500</v>
      </c>
      <c r="U18" s="109">
        <f t="shared" si="5"/>
        <v>60000</v>
      </c>
      <c r="V18" s="115" t="s">
        <v>190</v>
      </c>
    </row>
    <row r="19" spans="1:22" ht="33.75">
      <c r="A19" s="8">
        <v>17</v>
      </c>
      <c r="B19" s="12" t="s">
        <v>60</v>
      </c>
      <c r="C19" s="71" t="s">
        <v>100</v>
      </c>
      <c r="D19" s="66" t="s">
        <v>101</v>
      </c>
      <c r="F19" s="73">
        <f>'17'!L$30</f>
        <v>0.15</v>
      </c>
      <c r="G19" s="74">
        <f>'17'!L$29</f>
        <v>0.42</v>
      </c>
      <c r="H19" s="74">
        <f>'17'!L$27</f>
        <v>0.7</v>
      </c>
      <c r="I19" s="115" t="str">
        <f>"pounds of TP reduced
per "&amp;'BMP info'!E18&amp;"
per year"</f>
        <v>pounds of TP reduced
per acre
per year</v>
      </c>
      <c r="J19" s="83"/>
      <c r="K19" s="103">
        <f>'17'!D$34</f>
        <v>158.2175</v>
      </c>
      <c r="L19" s="115" t="str">
        <f>"per "&amp;'BMP info'!E18&amp;"
per year"</f>
        <v>per acre
per year</v>
      </c>
      <c r="M19" s="83"/>
      <c r="N19" s="62">
        <f t="shared" si="0"/>
        <v>0.94806200325501289</v>
      </c>
      <c r="O19" s="63">
        <f t="shared" si="1"/>
        <v>2.6545736091140362</v>
      </c>
      <c r="P19" s="63">
        <f t="shared" si="2"/>
        <v>4.4242893485233932</v>
      </c>
      <c r="Q19" s="115" t="s">
        <v>137</v>
      </c>
      <c r="R19" s="83"/>
      <c r="S19" s="108">
        <f t="shared" si="3"/>
        <v>226.02500000000001</v>
      </c>
      <c r="T19" s="109">
        <f t="shared" si="4"/>
        <v>376.70833333333337</v>
      </c>
      <c r="U19" s="109">
        <f t="shared" si="5"/>
        <v>1054.7833333333333</v>
      </c>
      <c r="V19" s="115" t="s">
        <v>190</v>
      </c>
    </row>
    <row r="20" spans="1:22" ht="33.75">
      <c r="A20" s="8">
        <v>18</v>
      </c>
      <c r="B20" s="12" t="s">
        <v>60</v>
      </c>
      <c r="C20" s="71" t="s">
        <v>102</v>
      </c>
      <c r="D20" s="66" t="s">
        <v>103</v>
      </c>
      <c r="F20" s="73">
        <f>'18'!L$30</f>
        <v>0.05</v>
      </c>
      <c r="G20" s="74">
        <f>'18'!L$29</f>
        <v>0.2</v>
      </c>
      <c r="H20" s="74">
        <f>'18'!L$27</f>
        <v>0.35</v>
      </c>
      <c r="I20" s="115" t="str">
        <f>"pounds of TP reduced
per "&amp;'BMP info'!E19&amp;"
per year"</f>
        <v>pounds of TP reduced
per acre
per year</v>
      </c>
      <c r="J20" s="83"/>
      <c r="K20" s="103">
        <f>'18'!D$34</f>
        <v>158.2175</v>
      </c>
      <c r="L20" s="115" t="str">
        <f>"per "&amp;'BMP info'!E19&amp;"
per year"</f>
        <v>per acre
per year</v>
      </c>
      <c r="M20" s="83"/>
      <c r="N20" s="62">
        <f t="shared" si="0"/>
        <v>0.31602066775167098</v>
      </c>
      <c r="O20" s="63">
        <f t="shared" si="1"/>
        <v>1.2640826710066839</v>
      </c>
      <c r="P20" s="63">
        <f t="shared" si="2"/>
        <v>2.2121446742616966</v>
      </c>
      <c r="Q20" s="115" t="s">
        <v>137</v>
      </c>
      <c r="R20" s="83"/>
      <c r="S20" s="108">
        <f t="shared" si="3"/>
        <v>452.05</v>
      </c>
      <c r="T20" s="109">
        <f t="shared" si="4"/>
        <v>791.08749999999998</v>
      </c>
      <c r="U20" s="109">
        <f t="shared" si="5"/>
        <v>3164.35</v>
      </c>
      <c r="V20" s="115" t="s">
        <v>190</v>
      </c>
    </row>
    <row r="21" spans="1:22" ht="33.75">
      <c r="A21" s="8">
        <v>19</v>
      </c>
      <c r="B21" s="12" t="s">
        <v>60</v>
      </c>
      <c r="C21" s="71" t="s">
        <v>256</v>
      </c>
      <c r="D21" s="66" t="s">
        <v>85</v>
      </c>
      <c r="F21" s="73">
        <f>'19'!L$30</f>
        <v>0</v>
      </c>
      <c r="G21" s="74">
        <f>'19'!L$29</f>
        <v>0</v>
      </c>
      <c r="H21" s="74">
        <f>'19'!L$27</f>
        <v>0</v>
      </c>
      <c r="I21" s="115" t="str">
        <f>"pounds of TP reduced
per "&amp;'BMP info'!E20&amp;"
per year"</f>
        <v>pounds of TP reduced
per acre
per year</v>
      </c>
      <c r="J21" s="83"/>
      <c r="K21" s="103">
        <f>'19'!D$34</f>
        <v>56</v>
      </c>
      <c r="L21" s="115" t="str">
        <f>"per "&amp;'BMP info'!E20&amp;"
per year"</f>
        <v>per acre
per year</v>
      </c>
      <c r="M21" s="83"/>
      <c r="N21" s="62">
        <f t="shared" si="0"/>
        <v>0</v>
      </c>
      <c r="O21" s="63">
        <f t="shared" si="1"/>
        <v>0</v>
      </c>
      <c r="P21" s="63">
        <f t="shared" si="2"/>
        <v>0</v>
      </c>
      <c r="Q21" s="115" t="s">
        <v>137</v>
      </c>
      <c r="R21" s="83"/>
      <c r="S21" s="108" t="str">
        <f t="shared" si="3"/>
        <v>-</v>
      </c>
      <c r="T21" s="109" t="str">
        <f t="shared" si="4"/>
        <v>-</v>
      </c>
      <c r="U21" s="109" t="str">
        <f t="shared" si="5"/>
        <v>-</v>
      </c>
      <c r="V21" s="115" t="s">
        <v>190</v>
      </c>
    </row>
    <row r="22" spans="1:22" ht="33.75">
      <c r="A22" s="8">
        <v>20</v>
      </c>
      <c r="B22" s="12" t="s">
        <v>60</v>
      </c>
      <c r="C22" s="71" t="s">
        <v>104</v>
      </c>
      <c r="D22" s="66" t="s">
        <v>105</v>
      </c>
      <c r="F22" s="73">
        <f>'20'!L$30</f>
        <v>0.65</v>
      </c>
      <c r="G22" s="74">
        <f>'20'!L$29</f>
        <v>3.92</v>
      </c>
      <c r="H22" s="74">
        <f>'20'!L$27</f>
        <v>72.959999999999994</v>
      </c>
      <c r="I22" s="115" t="str">
        <f>"pounds of TP reduced
per "&amp;'BMP info'!E21&amp;"
per year"</f>
        <v>pounds of TP reduced
per acre
per year</v>
      </c>
      <c r="J22" s="83"/>
      <c r="K22" s="103">
        <f>'20'!D$34</f>
        <v>1190.0999999999999</v>
      </c>
      <c r="L22" s="115" t="str">
        <f>"per "&amp;'BMP info'!E21&amp;"
per year"</f>
        <v>per acre
per year</v>
      </c>
      <c r="M22" s="83"/>
      <c r="N22" s="62">
        <f t="shared" si="0"/>
        <v>0.54617259053861023</v>
      </c>
      <c r="O22" s="63">
        <f t="shared" si="1"/>
        <v>3.2938408537097725</v>
      </c>
      <c r="P22" s="63">
        <f t="shared" si="2"/>
        <v>61.305772624149235</v>
      </c>
      <c r="Q22" s="115" t="s">
        <v>137</v>
      </c>
      <c r="R22" s="83"/>
      <c r="S22" s="108">
        <f t="shared" si="3"/>
        <v>16.311677631578949</v>
      </c>
      <c r="T22" s="109">
        <f t="shared" si="4"/>
        <v>303.59693877551018</v>
      </c>
      <c r="U22" s="109">
        <f t="shared" si="5"/>
        <v>1830.9230769230767</v>
      </c>
      <c r="V22" s="115" t="s">
        <v>190</v>
      </c>
    </row>
    <row r="23" spans="1:22" ht="33.75">
      <c r="A23" s="8">
        <v>21</v>
      </c>
      <c r="B23" s="12" t="s">
        <v>60</v>
      </c>
      <c r="C23" s="71" t="s">
        <v>106</v>
      </c>
      <c r="D23" s="66" t="s">
        <v>107</v>
      </c>
      <c r="F23" s="69">
        <f>'21'!L$30</f>
        <v>0</v>
      </c>
      <c r="G23" s="70">
        <f>'21'!L$29</f>
        <v>0</v>
      </c>
      <c r="H23" s="70">
        <f>'21'!L$27</f>
        <v>0</v>
      </c>
      <c r="I23" s="115" t="str">
        <f>"pounds of TP reduced
per "&amp;'BMP info'!E22&amp;"
per year"</f>
        <v>pounds of TP reduced
per animal unit
per year</v>
      </c>
      <c r="J23" s="83"/>
      <c r="K23" s="104">
        <f>'21'!D$34</f>
        <v>1</v>
      </c>
      <c r="L23" s="115" t="str">
        <f>"per "&amp;'BMP info'!E22&amp;"
per year"</f>
        <v>per animal unit
per year</v>
      </c>
      <c r="M23" s="83"/>
      <c r="N23" s="76">
        <f t="shared" si="0"/>
        <v>0</v>
      </c>
      <c r="O23" s="77">
        <f t="shared" si="1"/>
        <v>0</v>
      </c>
      <c r="P23" s="77">
        <f t="shared" si="2"/>
        <v>0</v>
      </c>
      <c r="Q23" s="115" t="s">
        <v>137</v>
      </c>
      <c r="R23" s="83"/>
      <c r="S23" s="106" t="str">
        <f t="shared" si="3"/>
        <v>-</v>
      </c>
      <c r="T23" s="107" t="str">
        <f t="shared" si="4"/>
        <v>-</v>
      </c>
      <c r="U23" s="107" t="str">
        <f t="shared" si="5"/>
        <v>-</v>
      </c>
      <c r="V23" s="115" t="s">
        <v>190</v>
      </c>
    </row>
    <row r="24" spans="1:22" ht="33.75">
      <c r="A24" s="8">
        <v>22</v>
      </c>
      <c r="B24" s="12" t="s">
        <v>60</v>
      </c>
      <c r="C24" s="71" t="s">
        <v>64</v>
      </c>
      <c r="D24" s="66" t="s">
        <v>108</v>
      </c>
      <c r="F24" s="73">
        <f>'22'!L$30</f>
        <v>1E-3</v>
      </c>
      <c r="G24" s="74">
        <f>'22'!L$29</f>
        <v>1.1999999999999999E-3</v>
      </c>
      <c r="H24" s="74">
        <f>'22'!L$27</f>
        <v>2.5000000000000001E-3</v>
      </c>
      <c r="I24" s="115" t="str">
        <f>"pounds of TP reduced
per "&amp;'BMP info'!E23&amp;"
per year"</f>
        <v>pounds of TP reduced
per foot
per year</v>
      </c>
      <c r="J24" s="83"/>
      <c r="K24" s="104">
        <f>'22'!D$34</f>
        <v>6.6886666666666663</v>
      </c>
      <c r="L24" s="115" t="str">
        <f>"per "&amp;'BMP info'!E23&amp;"
per year"</f>
        <v>per foot
per year</v>
      </c>
      <c r="M24" s="83"/>
      <c r="N24" s="62">
        <f t="shared" si="0"/>
        <v>0.14950662812718032</v>
      </c>
      <c r="O24" s="63">
        <f t="shared" si="1"/>
        <v>0.17940795375261637</v>
      </c>
      <c r="P24" s="63">
        <f t="shared" si="2"/>
        <v>0.3737665703179508</v>
      </c>
      <c r="Q24" s="115" t="s">
        <v>137</v>
      </c>
      <c r="R24" s="83"/>
      <c r="S24" s="108">
        <f t="shared" si="3"/>
        <v>2675.4666666666667</v>
      </c>
      <c r="T24" s="109">
        <f t="shared" si="4"/>
        <v>5573.8888888888887</v>
      </c>
      <c r="U24" s="109">
        <f t="shared" si="5"/>
        <v>6688.6666666666661</v>
      </c>
      <c r="V24" s="115" t="s">
        <v>190</v>
      </c>
    </row>
    <row r="25" spans="1:22" ht="33.75">
      <c r="A25" s="8">
        <v>23</v>
      </c>
      <c r="B25" s="12" t="s">
        <v>60</v>
      </c>
      <c r="C25" s="71" t="s">
        <v>109</v>
      </c>
      <c r="D25" s="66" t="s">
        <v>110</v>
      </c>
      <c r="F25" s="73">
        <f>'23'!L$30</f>
        <v>0.01</v>
      </c>
      <c r="G25" s="74">
        <f>'23'!L$29</f>
        <v>0.04</v>
      </c>
      <c r="H25" s="74">
        <f>'23'!L$27</f>
        <v>0.16</v>
      </c>
      <c r="I25" s="115" t="str">
        <f>"pounds of TP reduced
per "&amp;'BMP info'!E24&amp;"
per year"</f>
        <v>pounds of TP reduced
per acre
per year</v>
      </c>
      <c r="J25" s="83"/>
      <c r="K25" s="104">
        <f>'23'!D$34</f>
        <v>7</v>
      </c>
      <c r="L25" s="115" t="str">
        <f>"per "&amp;'BMP info'!E24&amp;"
per year"</f>
        <v>per acre
per year</v>
      </c>
      <c r="M25" s="83"/>
      <c r="N25" s="62">
        <f t="shared" si="0"/>
        <v>1.4285714285714286</v>
      </c>
      <c r="O25" s="63">
        <f t="shared" si="1"/>
        <v>5.7142857142857144</v>
      </c>
      <c r="P25" s="63">
        <f t="shared" si="2"/>
        <v>22.857142857142858</v>
      </c>
      <c r="Q25" s="115" t="s">
        <v>137</v>
      </c>
      <c r="R25" s="83"/>
      <c r="S25" s="108">
        <f t="shared" si="3"/>
        <v>43.75</v>
      </c>
      <c r="T25" s="109">
        <f t="shared" si="4"/>
        <v>175</v>
      </c>
      <c r="U25" s="109">
        <f t="shared" si="5"/>
        <v>700</v>
      </c>
      <c r="V25" s="115" t="s">
        <v>190</v>
      </c>
    </row>
    <row r="26" spans="1:22" ht="33.75">
      <c r="A26" s="8">
        <v>24</v>
      </c>
      <c r="B26" s="12" t="s">
        <v>60</v>
      </c>
      <c r="C26" s="71" t="s">
        <v>111</v>
      </c>
      <c r="D26" s="66" t="s">
        <v>112</v>
      </c>
      <c r="F26" s="73">
        <f>'24'!L$30</f>
        <v>0.02</v>
      </c>
      <c r="G26" s="74">
        <f>'24'!L$29</f>
        <v>0.04</v>
      </c>
      <c r="H26" s="74">
        <f>'24'!L$27</f>
        <v>0.06</v>
      </c>
      <c r="I26" s="115" t="str">
        <f>"pounds of TP reduced
per "&amp;'BMP info'!E25&amp;"
per year"</f>
        <v>pounds of TP reduced
per acre
per year</v>
      </c>
      <c r="J26" s="83"/>
      <c r="K26" s="104">
        <f>'24'!D$34</f>
        <v>82.667000000000002</v>
      </c>
      <c r="L26" s="115" t="str">
        <f>"per "&amp;'BMP info'!E25&amp;"
per year"</f>
        <v>per acre
per year</v>
      </c>
      <c r="M26" s="83"/>
      <c r="N26" s="62">
        <f t="shared" si="0"/>
        <v>0.24193450832859545</v>
      </c>
      <c r="O26" s="63">
        <f t="shared" si="1"/>
        <v>0.4838690166571909</v>
      </c>
      <c r="P26" s="63">
        <f t="shared" si="2"/>
        <v>0.72580352498578637</v>
      </c>
      <c r="Q26" s="115" t="s">
        <v>137</v>
      </c>
      <c r="R26" s="83"/>
      <c r="S26" s="108">
        <f t="shared" si="3"/>
        <v>1377.7833333333333</v>
      </c>
      <c r="T26" s="109">
        <f t="shared" si="4"/>
        <v>2066.6750000000002</v>
      </c>
      <c r="U26" s="109">
        <f t="shared" si="5"/>
        <v>4133.3500000000004</v>
      </c>
      <c r="V26" s="115" t="s">
        <v>190</v>
      </c>
    </row>
    <row r="27" spans="1:22" ht="33.75">
      <c r="A27" s="8">
        <v>25</v>
      </c>
      <c r="B27" s="12" t="s">
        <v>60</v>
      </c>
      <c r="C27" s="71" t="s">
        <v>126</v>
      </c>
      <c r="D27" s="66" t="s">
        <v>127</v>
      </c>
      <c r="F27" s="73">
        <f>'25'!L$30</f>
        <v>2.5099999999999998</v>
      </c>
      <c r="G27" s="74">
        <f>'25'!L$29</f>
        <v>6.68</v>
      </c>
      <c r="H27" s="74">
        <f>'25'!L$27</f>
        <v>10</v>
      </c>
      <c r="I27" s="115" t="str">
        <f>"pounds of TP reduced
per "&amp;'BMP info'!E26&amp;"
per year"</f>
        <v>pounds of TP reduced
per acre
per year</v>
      </c>
      <c r="J27" s="83"/>
      <c r="K27" s="104">
        <f>'25'!D$34</f>
        <v>93.1</v>
      </c>
      <c r="L27" s="115" t="str">
        <f>"per "&amp;'BMP info'!E26&amp;"
per year"</f>
        <v>per acre
per year</v>
      </c>
      <c r="M27" s="83"/>
      <c r="N27" s="62">
        <f t="shared" si="0"/>
        <v>26.960257787325457</v>
      </c>
      <c r="O27" s="63">
        <f t="shared" si="1"/>
        <v>71.750805585392058</v>
      </c>
      <c r="P27" s="63">
        <f t="shared" si="2"/>
        <v>107.41138560687433</v>
      </c>
      <c r="Q27" s="115" t="s">
        <v>137</v>
      </c>
      <c r="R27" s="83"/>
      <c r="S27" s="108">
        <f t="shared" si="3"/>
        <v>9.3099999999999987</v>
      </c>
      <c r="T27" s="109">
        <f t="shared" si="4"/>
        <v>13.937125748502993</v>
      </c>
      <c r="U27" s="109">
        <f t="shared" si="5"/>
        <v>37.091633466135463</v>
      </c>
      <c r="V27" s="115" t="s">
        <v>190</v>
      </c>
    </row>
    <row r="28" spans="1:22" ht="33.75">
      <c r="A28" s="8">
        <v>26</v>
      </c>
      <c r="B28" s="12" t="s">
        <v>60</v>
      </c>
      <c r="C28" s="71" t="s">
        <v>257</v>
      </c>
      <c r="D28" s="66" t="s">
        <v>114</v>
      </c>
      <c r="F28" s="73">
        <f>'26'!L$30</f>
        <v>0</v>
      </c>
      <c r="G28" s="74">
        <f>'26'!L$29</f>
        <v>0</v>
      </c>
      <c r="H28" s="74">
        <f>'26'!L$27</f>
        <v>0</v>
      </c>
      <c r="I28" s="115" t="str">
        <f>"pounds of TP reduced
per "&amp;'BMP info'!E27&amp;"
per year"</f>
        <v>pounds of TP reduced
per acre
per year</v>
      </c>
      <c r="J28" s="83"/>
      <c r="K28" s="104">
        <f>'26'!D$34</f>
        <v>23.33</v>
      </c>
      <c r="L28" s="115" t="str">
        <f>"per "&amp;'BMP info'!E27&amp;"
per year"</f>
        <v>per acre
per year</v>
      </c>
      <c r="M28" s="83"/>
      <c r="N28" s="62">
        <f t="shared" si="0"/>
        <v>0</v>
      </c>
      <c r="O28" s="63">
        <f t="shared" si="1"/>
        <v>0</v>
      </c>
      <c r="P28" s="63">
        <f t="shared" si="2"/>
        <v>0</v>
      </c>
      <c r="Q28" s="115" t="s">
        <v>137</v>
      </c>
      <c r="R28" s="83"/>
      <c r="S28" s="108" t="str">
        <f t="shared" si="3"/>
        <v>-</v>
      </c>
      <c r="T28" s="109" t="str">
        <f t="shared" si="4"/>
        <v>-</v>
      </c>
      <c r="U28" s="109" t="str">
        <f t="shared" si="5"/>
        <v>-</v>
      </c>
      <c r="V28" s="115" t="s">
        <v>190</v>
      </c>
    </row>
    <row r="29" spans="1:22" ht="33.75">
      <c r="A29" s="8">
        <v>27</v>
      </c>
      <c r="B29" s="12" t="s">
        <v>60</v>
      </c>
      <c r="C29" s="71" t="s">
        <v>117</v>
      </c>
      <c r="D29" s="66" t="s">
        <v>118</v>
      </c>
      <c r="F29" s="69">
        <f>'27'!L$30</f>
        <v>0</v>
      </c>
      <c r="G29" s="70">
        <f>'27'!L$29</f>
        <v>0</v>
      </c>
      <c r="H29" s="70">
        <f>'27'!L$27</f>
        <v>0</v>
      </c>
      <c r="I29" s="115" t="str">
        <f>"pounds of TP reduced
per "&amp;'BMP info'!E28&amp;"
per year"</f>
        <v>pounds of TP reduced
per animal unit
per year</v>
      </c>
      <c r="J29" s="83"/>
      <c r="K29" s="104">
        <f>'27'!D$34</f>
        <v>0.83</v>
      </c>
      <c r="L29" s="115" t="str">
        <f>"per "&amp;'BMP info'!E28&amp;"
per year"</f>
        <v>per animal unit
per year</v>
      </c>
      <c r="M29" s="83"/>
      <c r="N29" s="76">
        <f t="shared" si="0"/>
        <v>0</v>
      </c>
      <c r="O29" s="77">
        <f t="shared" si="1"/>
        <v>0</v>
      </c>
      <c r="P29" s="77">
        <f t="shared" si="2"/>
        <v>0</v>
      </c>
      <c r="Q29" s="115" t="s">
        <v>137</v>
      </c>
      <c r="R29" s="83"/>
      <c r="S29" s="106" t="str">
        <f t="shared" si="3"/>
        <v>-</v>
      </c>
      <c r="T29" s="107" t="str">
        <f t="shared" si="4"/>
        <v>-</v>
      </c>
      <c r="U29" s="107" t="str">
        <f t="shared" si="5"/>
        <v>-</v>
      </c>
      <c r="V29" s="115" t="s">
        <v>190</v>
      </c>
    </row>
    <row r="30" spans="1:22" ht="33.75">
      <c r="A30" s="8">
        <v>28</v>
      </c>
      <c r="B30" s="12" t="s">
        <v>60</v>
      </c>
      <c r="C30" s="71" t="s">
        <v>121</v>
      </c>
      <c r="D30" s="66" t="s">
        <v>122</v>
      </c>
      <c r="F30" s="73">
        <f>'28'!L$30</f>
        <v>0.06</v>
      </c>
      <c r="G30" s="74">
        <f>'28'!L$29</f>
        <v>0.11</v>
      </c>
      <c r="H30" s="74">
        <f>'28'!L$27</f>
        <v>0.21</v>
      </c>
      <c r="I30" s="115" t="str">
        <f>"pounds of TP reduced
per "&amp;'BMP info'!E29&amp;"
per year"</f>
        <v>pounds of TP reduced
per acre
per year</v>
      </c>
      <c r="J30" s="83"/>
      <c r="K30" s="103">
        <f>'28'!D$34</f>
        <v>600</v>
      </c>
      <c r="L30" s="115" t="str">
        <f>"per "&amp;'BMP info'!E29&amp;"
per year"</f>
        <v>per acre
per year</v>
      </c>
      <c r="M30" s="83"/>
      <c r="N30" s="62">
        <f t="shared" si="0"/>
        <v>0.1</v>
      </c>
      <c r="O30" s="63">
        <f t="shared" si="1"/>
        <v>0.18333333333333332</v>
      </c>
      <c r="P30" s="63">
        <f t="shared" si="2"/>
        <v>0.35</v>
      </c>
      <c r="Q30" s="115" t="s">
        <v>137</v>
      </c>
      <c r="R30" s="83"/>
      <c r="S30" s="108">
        <f t="shared" si="3"/>
        <v>2857.1428571428573</v>
      </c>
      <c r="T30" s="109">
        <f t="shared" si="4"/>
        <v>5454.545454545455</v>
      </c>
      <c r="U30" s="109">
        <f t="shared" si="5"/>
        <v>10000</v>
      </c>
      <c r="V30" s="115" t="s">
        <v>190</v>
      </c>
    </row>
    <row r="31" spans="1:22" ht="33.75">
      <c r="A31" s="8">
        <v>29</v>
      </c>
      <c r="B31" s="12" t="s">
        <v>60</v>
      </c>
      <c r="C31" s="71" t="s">
        <v>142</v>
      </c>
      <c r="D31" s="66" t="s">
        <v>17</v>
      </c>
      <c r="F31" s="73">
        <f>'29'!L$30</f>
        <v>0.02</v>
      </c>
      <c r="G31" s="74">
        <f>'29'!L$29</f>
        <v>0.11</v>
      </c>
      <c r="H31" s="74">
        <f>'29'!L$27</f>
        <v>0.61</v>
      </c>
      <c r="I31" s="115" t="str">
        <f>"pounds of TP reduced
per "&amp;'BMP info'!E30&amp;"
per year"</f>
        <v>pounds of TP reduced
per acre
per year</v>
      </c>
      <c r="J31" s="83"/>
      <c r="K31" s="103">
        <f>'29'!D$34</f>
        <v>163.80000000000001</v>
      </c>
      <c r="L31" s="115" t="str">
        <f>"per "&amp;'BMP info'!E30&amp;"
per year"</f>
        <v>per acre
per year</v>
      </c>
      <c r="M31" s="83"/>
      <c r="N31" s="62">
        <f t="shared" si="0"/>
        <v>0.1221001221001221</v>
      </c>
      <c r="O31" s="63">
        <f t="shared" si="1"/>
        <v>0.6715506715506715</v>
      </c>
      <c r="P31" s="63">
        <f t="shared" si="2"/>
        <v>3.7240537240537237</v>
      </c>
      <c r="Q31" s="115" t="s">
        <v>137</v>
      </c>
      <c r="R31" s="83"/>
      <c r="S31" s="108">
        <f t="shared" si="3"/>
        <v>268.52459016393448</v>
      </c>
      <c r="T31" s="109">
        <f t="shared" si="4"/>
        <v>1489.0909090909092</v>
      </c>
      <c r="U31" s="109">
        <f t="shared" si="5"/>
        <v>8190</v>
      </c>
      <c r="V31" s="115" t="s">
        <v>190</v>
      </c>
    </row>
    <row r="32" spans="1:22" ht="33.75">
      <c r="A32" s="8">
        <v>30</v>
      </c>
      <c r="B32" s="12" t="s">
        <v>60</v>
      </c>
      <c r="C32" s="71" t="s">
        <v>119</v>
      </c>
      <c r="D32" s="66" t="s">
        <v>120</v>
      </c>
      <c r="F32" s="73">
        <f>'30'!L$30</f>
        <v>0.08</v>
      </c>
      <c r="G32" s="74">
        <f>'30'!L$29</f>
        <v>0.19</v>
      </c>
      <c r="H32" s="74">
        <f>'30'!L$27</f>
        <v>0.19</v>
      </c>
      <c r="I32" s="115" t="str">
        <f>"pounds of TP reduced
per "&amp;'BMP info'!E31&amp;"
per year"</f>
        <v>pounds of TP reduced
per acre
per year</v>
      </c>
      <c r="J32" s="83"/>
      <c r="K32" s="103">
        <f>'30'!D$34</f>
        <v>600</v>
      </c>
      <c r="L32" s="115" t="str">
        <f>"per "&amp;'BMP info'!E31&amp;"
per year"</f>
        <v>per acre
per year</v>
      </c>
      <c r="M32" s="83"/>
      <c r="N32" s="62">
        <f t="shared" ref="N32:P36" si="6">IF($K32=0,"-",1000*F32/$K32)</f>
        <v>0.13333333333333333</v>
      </c>
      <c r="O32" s="63">
        <f t="shared" si="6"/>
        <v>0.31666666666666665</v>
      </c>
      <c r="P32" s="63">
        <f t="shared" si="6"/>
        <v>0.31666666666666665</v>
      </c>
      <c r="Q32" s="115" t="s">
        <v>137</v>
      </c>
      <c r="R32" s="83"/>
      <c r="S32" s="108">
        <f t="shared" si="3"/>
        <v>3157.8947368421054</v>
      </c>
      <c r="T32" s="109">
        <f t="shared" si="4"/>
        <v>3157.8947368421054</v>
      </c>
      <c r="U32" s="109">
        <f t="shared" si="5"/>
        <v>7500</v>
      </c>
      <c r="V32" s="115" t="s">
        <v>190</v>
      </c>
    </row>
    <row r="33" spans="1:22" ht="33.75">
      <c r="A33" s="8">
        <v>31</v>
      </c>
      <c r="B33" s="12" t="s">
        <v>60</v>
      </c>
      <c r="C33" s="71" t="s">
        <v>18</v>
      </c>
      <c r="D33" s="66" t="s">
        <v>19</v>
      </c>
      <c r="F33" s="73">
        <f>'31'!L$30</f>
        <v>0</v>
      </c>
      <c r="G33" s="74">
        <f>'31'!L$29</f>
        <v>0</v>
      </c>
      <c r="H33" s="74">
        <f>'31'!L$27</f>
        <v>0</v>
      </c>
      <c r="I33" s="115" t="str">
        <f>"pounds of TP reduced
per "&amp;'BMP info'!E32&amp;"
per year"</f>
        <v>pounds of TP reduced
per acre
per year</v>
      </c>
      <c r="J33" s="83"/>
      <c r="K33" s="103">
        <f>'31'!D$34</f>
        <v>52</v>
      </c>
      <c r="L33" s="115" t="str">
        <f>"per "&amp;'BMP info'!E32&amp;"
per year"</f>
        <v>per acre
per year</v>
      </c>
      <c r="M33" s="83"/>
      <c r="N33" s="62">
        <f t="shared" si="6"/>
        <v>0</v>
      </c>
      <c r="O33" s="63">
        <f t="shared" si="6"/>
        <v>0</v>
      </c>
      <c r="P33" s="63">
        <f t="shared" si="6"/>
        <v>0</v>
      </c>
      <c r="Q33" s="115" t="s">
        <v>137</v>
      </c>
      <c r="R33" s="83"/>
      <c r="S33" s="108" t="str">
        <f t="shared" si="3"/>
        <v>-</v>
      </c>
      <c r="T33" s="109" t="str">
        <f t="shared" si="4"/>
        <v>-</v>
      </c>
      <c r="U33" s="109" t="str">
        <f t="shared" si="5"/>
        <v>-</v>
      </c>
      <c r="V33" s="115" t="s">
        <v>190</v>
      </c>
    </row>
    <row r="34" spans="1:22" ht="33.75">
      <c r="A34" s="8">
        <v>32</v>
      </c>
      <c r="B34" s="12" t="s">
        <v>60</v>
      </c>
      <c r="C34" s="71" t="s">
        <v>20</v>
      </c>
      <c r="D34" s="66" t="s">
        <v>168</v>
      </c>
      <c r="F34" s="73">
        <f>'32'!L$30</f>
        <v>0.68</v>
      </c>
      <c r="G34" s="74">
        <f>'32'!L$29</f>
        <v>0.98</v>
      </c>
      <c r="H34" s="74">
        <f>'32'!L$27</f>
        <v>3.23</v>
      </c>
      <c r="I34" s="115" t="str">
        <f>"pounds of TP reduced
per "&amp;'BMP info'!E33&amp;"
per year"</f>
        <v>pounds of TP reduced
per acre
per year</v>
      </c>
      <c r="J34" s="83"/>
      <c r="K34" s="103">
        <f>'32'!D$34</f>
        <v>231.42222222222222</v>
      </c>
      <c r="L34" s="115" t="str">
        <f>"per "&amp;'BMP info'!E33&amp;"
per year"</f>
        <v>per acre
per year</v>
      </c>
      <c r="M34" s="83"/>
      <c r="N34" s="62">
        <f t="shared" si="6"/>
        <v>2.938352218167851</v>
      </c>
      <c r="O34" s="63">
        <f t="shared" si="6"/>
        <v>4.2346840791242562</v>
      </c>
      <c r="P34" s="63">
        <f t="shared" si="6"/>
        <v>13.957173036297293</v>
      </c>
      <c r="Q34" s="115" t="s">
        <v>137</v>
      </c>
      <c r="R34" s="83"/>
      <c r="S34" s="108">
        <f t="shared" si="3"/>
        <v>71.647746818025453</v>
      </c>
      <c r="T34" s="109">
        <f t="shared" si="4"/>
        <v>236.14512471655328</v>
      </c>
      <c r="U34" s="109">
        <f t="shared" si="5"/>
        <v>340.32679738562086</v>
      </c>
      <c r="V34" s="115" t="s">
        <v>190</v>
      </c>
    </row>
    <row r="35" spans="1:22" ht="33.75">
      <c r="A35" s="8">
        <v>33</v>
      </c>
      <c r="B35" s="14" t="s">
        <v>57</v>
      </c>
      <c r="C35" s="71" t="s">
        <v>58</v>
      </c>
      <c r="D35" s="129" t="s">
        <v>59</v>
      </c>
      <c r="F35" s="73">
        <f>'33'!L$30</f>
        <v>3.7642091078612196E-2</v>
      </c>
      <c r="G35" s="74">
        <f>'33'!L$29</f>
        <v>0.20757730642753683</v>
      </c>
      <c r="H35" s="74">
        <f>'33'!L$27</f>
        <v>0.52793233097142811</v>
      </c>
      <c r="I35" s="115" t="str">
        <f>"pounds of TP reduced
per "&amp;'BMP info'!E35&amp;"
per year"</f>
        <v>pounds of TP reduced
per acre
per year</v>
      </c>
      <c r="J35" s="83"/>
      <c r="K35" s="104">
        <f>'33'!D$34</f>
        <v>20.5</v>
      </c>
      <c r="L35" s="115" t="str">
        <f>"per "&amp;'BMP info'!E35&amp;"
per year"</f>
        <v>per acre
per year</v>
      </c>
      <c r="M35" s="83"/>
      <c r="N35" s="62">
        <f t="shared" si="6"/>
        <v>1.8361995648103511</v>
      </c>
      <c r="O35" s="63">
        <f t="shared" si="6"/>
        <v>10.125722264757893</v>
      </c>
      <c r="P35" s="63">
        <f t="shared" si="6"/>
        <v>25.752796632752588</v>
      </c>
      <c r="Q35" s="115" t="s">
        <v>137</v>
      </c>
      <c r="R35" s="83"/>
      <c r="S35" s="108">
        <f t="shared" ref="S35:S47" si="7">IF($K35*H35=0,"-",$K35/H35)</f>
        <v>38.830734162991561</v>
      </c>
      <c r="T35" s="109">
        <f t="shared" ref="T35:T47" si="8">IF($K35*G35=0,"-",$K35/G35)</f>
        <v>98.758387189865317</v>
      </c>
      <c r="U35" s="109">
        <f t="shared" ref="U35:U47" si="9">IF($K35*F35=0,"-",$K35/F35)</f>
        <v>544.60311349833228</v>
      </c>
      <c r="V35" s="115" t="s">
        <v>190</v>
      </c>
    </row>
    <row r="36" spans="1:22" ht="33.75">
      <c r="A36" s="8">
        <v>34</v>
      </c>
      <c r="B36" s="13" t="s">
        <v>70</v>
      </c>
      <c r="C36" s="71" t="s">
        <v>47</v>
      </c>
      <c r="D36" s="66" t="s">
        <v>48</v>
      </c>
      <c r="F36" s="73">
        <f>'34'!L$30</f>
        <v>0.14000000000000001</v>
      </c>
      <c r="G36" s="74">
        <f>'34'!L$29</f>
        <v>0.25</v>
      </c>
      <c r="H36" s="74">
        <f>'34'!L$27</f>
        <v>0.38</v>
      </c>
      <c r="I36" s="115" t="str">
        <f>"pounds of TP reduced
per "&amp;'BMP info'!E36&amp;"
per year"</f>
        <v>pounds of TP reduced
per MGD
per year</v>
      </c>
      <c r="J36" s="83"/>
      <c r="K36" s="104">
        <f>'34'!D$34</f>
        <v>45</v>
      </c>
      <c r="L36" s="115" t="str">
        <f>"per "&amp;'BMP info'!E36&amp;"
per year"</f>
        <v>per MGD
per year</v>
      </c>
      <c r="M36" s="83"/>
      <c r="N36" s="62">
        <f t="shared" si="6"/>
        <v>3.1111111111111112</v>
      </c>
      <c r="O36" s="63">
        <f t="shared" si="6"/>
        <v>5.5555555555555554</v>
      </c>
      <c r="P36" s="63">
        <f t="shared" si="6"/>
        <v>8.4444444444444446</v>
      </c>
      <c r="Q36" s="115" t="s">
        <v>137</v>
      </c>
      <c r="R36" s="83"/>
      <c r="S36" s="108">
        <f t="shared" si="7"/>
        <v>118.42105263157895</v>
      </c>
      <c r="T36" s="109">
        <f t="shared" si="8"/>
        <v>180</v>
      </c>
      <c r="U36" s="109">
        <f t="shared" si="9"/>
        <v>321.42857142857139</v>
      </c>
      <c r="V36" s="115" t="s">
        <v>190</v>
      </c>
    </row>
    <row r="37" spans="1:22" ht="33.75">
      <c r="A37" s="8">
        <v>35</v>
      </c>
      <c r="B37" s="67" t="s">
        <v>61</v>
      </c>
      <c r="C37" s="71" t="s">
        <v>62</v>
      </c>
      <c r="D37" s="66" t="s">
        <v>63</v>
      </c>
      <c r="F37" s="73">
        <f>'35'!L$30</f>
        <v>271</v>
      </c>
      <c r="G37" s="74">
        <f>'35'!L$29</f>
        <v>1279</v>
      </c>
      <c r="H37" s="74">
        <f>'35'!L$27</f>
        <v>1615</v>
      </c>
      <c r="I37" s="115" t="str">
        <f>"pounds of TP reduced
per "&amp;'BMP info'!E34&amp;"
per year"</f>
        <v>pounds of TP reduced
per ton
per year</v>
      </c>
      <c r="J37" s="83"/>
      <c r="K37" s="104">
        <f>'35'!D$34</f>
        <v>395200</v>
      </c>
      <c r="L37" s="115" t="str">
        <f>"per "&amp;'BMP info'!E34&amp;"
per year"</f>
        <v>per ton
per year</v>
      </c>
      <c r="M37" s="83"/>
      <c r="N37" s="62">
        <f t="shared" ref="N37:N47" si="10">IF($K37=0,"-",1000*F37/$K37)</f>
        <v>0.68572874493927127</v>
      </c>
      <c r="O37" s="63">
        <f t="shared" ref="O37:O47" si="11">IF($K37=0,"-",1000*G37/$K37)</f>
        <v>3.2363360323886639</v>
      </c>
      <c r="P37" s="63">
        <f t="shared" ref="P37:P47" si="12">IF($K37=0,"-",1000*H37/$K37)</f>
        <v>4.0865384615384617</v>
      </c>
      <c r="Q37" s="115" t="s">
        <v>137</v>
      </c>
      <c r="R37" s="83"/>
      <c r="S37" s="108">
        <f t="shared" si="7"/>
        <v>244.70588235294119</v>
      </c>
      <c r="T37" s="109">
        <f t="shared" si="8"/>
        <v>308.99139953088348</v>
      </c>
      <c r="U37" s="109">
        <f t="shared" si="9"/>
        <v>1458.3025830258302</v>
      </c>
      <c r="V37" s="115" t="s">
        <v>190</v>
      </c>
    </row>
    <row r="38" spans="1:22" ht="33.75">
      <c r="A38" s="8" t="s">
        <v>148</v>
      </c>
      <c r="B38" s="15" t="s">
        <v>49</v>
      </c>
      <c r="C38" s="71" t="s">
        <v>141</v>
      </c>
      <c r="D38" s="130" t="s">
        <v>50</v>
      </c>
      <c r="F38" s="73">
        <f>'36a'!L$30</f>
        <v>0</v>
      </c>
      <c r="G38" s="74">
        <f>'36a'!L$29</f>
        <v>0</v>
      </c>
      <c r="H38" s="74">
        <f>'36a'!L$27</f>
        <v>0</v>
      </c>
      <c r="I38" s="115" t="str">
        <f>"pounds of TP reduced
per "&amp;'BMP info'!E37&amp;"
per year"</f>
        <v>pounds of TP reduced
per system
per year</v>
      </c>
      <c r="J38" s="83"/>
      <c r="K38" s="103">
        <f>'36a'!D$34</f>
        <v>750</v>
      </c>
      <c r="L38" s="115" t="str">
        <f>"per "&amp;'BMP info'!E37&amp;"
per year"</f>
        <v>per system
per year</v>
      </c>
      <c r="M38" s="83"/>
      <c r="N38" s="62">
        <f t="shared" si="10"/>
        <v>0</v>
      </c>
      <c r="O38" s="75">
        <f t="shared" si="11"/>
        <v>0</v>
      </c>
      <c r="P38" s="75">
        <f t="shared" si="12"/>
        <v>0</v>
      </c>
      <c r="Q38" s="115" t="s">
        <v>137</v>
      </c>
      <c r="R38" s="83"/>
      <c r="S38" s="108" t="str">
        <f t="shared" si="7"/>
        <v>-</v>
      </c>
      <c r="T38" s="112" t="str">
        <f t="shared" si="8"/>
        <v>-</v>
      </c>
      <c r="U38" s="112" t="str">
        <f t="shared" si="9"/>
        <v>-</v>
      </c>
      <c r="V38" s="115" t="s">
        <v>190</v>
      </c>
    </row>
    <row r="39" spans="1:22" ht="33.75">
      <c r="A39" s="8" t="s">
        <v>149</v>
      </c>
      <c r="B39" s="15" t="s">
        <v>49</v>
      </c>
      <c r="C39" s="27" t="s">
        <v>145</v>
      </c>
      <c r="D39" s="6" t="s">
        <v>50</v>
      </c>
      <c r="F39" s="73">
        <f>'36b'!L$30</f>
        <v>0</v>
      </c>
      <c r="G39" s="74">
        <f>'36b'!L$29</f>
        <v>0</v>
      </c>
      <c r="H39" s="74">
        <f>'36b'!L$27</f>
        <v>0</v>
      </c>
      <c r="I39" s="115" t="str">
        <f>"pounds of TP reduced
per "&amp;'BMP info'!E38&amp;"
per year"</f>
        <v>pounds of TP reduced
per system
per year</v>
      </c>
      <c r="J39" s="83"/>
      <c r="K39" s="103">
        <f>'36b'!D$34</f>
        <v>750</v>
      </c>
      <c r="L39" s="115" t="str">
        <f>"per "&amp;'BMP info'!E38&amp;"
per year"</f>
        <v>per system
per year</v>
      </c>
      <c r="M39" s="83"/>
      <c r="N39" s="62">
        <f t="shared" si="10"/>
        <v>0</v>
      </c>
      <c r="O39" s="75">
        <f t="shared" si="11"/>
        <v>0</v>
      </c>
      <c r="P39" s="75">
        <f t="shared" si="12"/>
        <v>0</v>
      </c>
      <c r="Q39" s="115" t="s">
        <v>137</v>
      </c>
      <c r="R39" s="83"/>
      <c r="S39" s="108" t="str">
        <f t="shared" si="7"/>
        <v>-</v>
      </c>
      <c r="T39" s="112" t="str">
        <f t="shared" si="8"/>
        <v>-</v>
      </c>
      <c r="U39" s="112" t="str">
        <f t="shared" si="9"/>
        <v>-</v>
      </c>
      <c r="V39" s="115" t="s">
        <v>190</v>
      </c>
    </row>
    <row r="40" spans="1:22" ht="33.75">
      <c r="A40" s="8" t="s">
        <v>150</v>
      </c>
      <c r="B40" s="15" t="s">
        <v>49</v>
      </c>
      <c r="C40" s="27" t="s">
        <v>157</v>
      </c>
      <c r="D40" s="6" t="s">
        <v>50</v>
      </c>
      <c r="F40" s="73">
        <f>'36c'!L$30</f>
        <v>0</v>
      </c>
      <c r="G40" s="74">
        <f>'36c'!L$29</f>
        <v>0</v>
      </c>
      <c r="H40" s="74">
        <f>'36c'!L$27</f>
        <v>0</v>
      </c>
      <c r="I40" s="115" t="str">
        <f>"pounds of TP reduced
per "&amp;'BMP info'!E39&amp;"
per year"</f>
        <v>pounds of TP reduced
per system
per year</v>
      </c>
      <c r="J40" s="83"/>
      <c r="K40" s="103">
        <f>'36c'!D$34</f>
        <v>750</v>
      </c>
      <c r="L40" s="115" t="str">
        <f>"per "&amp;'BMP info'!E39&amp;"
per year"</f>
        <v>per system
per year</v>
      </c>
      <c r="M40" s="83"/>
      <c r="N40" s="62">
        <f t="shared" si="10"/>
        <v>0</v>
      </c>
      <c r="O40" s="75">
        <f t="shared" si="11"/>
        <v>0</v>
      </c>
      <c r="P40" s="75">
        <f t="shared" si="12"/>
        <v>0</v>
      </c>
      <c r="Q40" s="115" t="s">
        <v>137</v>
      </c>
      <c r="R40" s="83"/>
      <c r="S40" s="108" t="str">
        <f t="shared" si="7"/>
        <v>-</v>
      </c>
      <c r="T40" s="112" t="str">
        <f t="shared" si="8"/>
        <v>-</v>
      </c>
      <c r="U40" s="112" t="str">
        <f t="shared" si="9"/>
        <v>-</v>
      </c>
      <c r="V40" s="115" t="s">
        <v>190</v>
      </c>
    </row>
    <row r="41" spans="1:22" ht="33.75">
      <c r="A41" s="8" t="s">
        <v>151</v>
      </c>
      <c r="B41" s="15" t="s">
        <v>49</v>
      </c>
      <c r="C41" s="27" t="s">
        <v>143</v>
      </c>
      <c r="D41" s="6" t="s">
        <v>51</v>
      </c>
      <c r="F41" s="73">
        <f>'37a'!L$30</f>
        <v>0</v>
      </c>
      <c r="G41" s="74">
        <f>'37a'!L$29</f>
        <v>0</v>
      </c>
      <c r="H41" s="74">
        <f>'37a'!L$27</f>
        <v>0</v>
      </c>
      <c r="I41" s="115" t="str">
        <f>"pounds of TP reduced
per "&amp;'BMP info'!E40&amp;"
per year"</f>
        <v>pounds of TP reduced
per system
per year</v>
      </c>
      <c r="J41" s="83"/>
      <c r="K41" s="103">
        <f>'37a'!D$34</f>
        <v>736.82500000000005</v>
      </c>
      <c r="L41" s="115" t="str">
        <f>"per "&amp;'BMP info'!E40&amp;"
per year"</f>
        <v>per system
per year</v>
      </c>
      <c r="M41" s="83"/>
      <c r="N41" s="62">
        <f t="shared" si="10"/>
        <v>0</v>
      </c>
      <c r="O41" s="75">
        <f t="shared" si="11"/>
        <v>0</v>
      </c>
      <c r="P41" s="75">
        <f t="shared" si="12"/>
        <v>0</v>
      </c>
      <c r="Q41" s="115" t="s">
        <v>137</v>
      </c>
      <c r="R41" s="83"/>
      <c r="S41" s="108" t="str">
        <f t="shared" si="7"/>
        <v>-</v>
      </c>
      <c r="T41" s="112" t="str">
        <f t="shared" si="8"/>
        <v>-</v>
      </c>
      <c r="U41" s="112" t="str">
        <f t="shared" si="9"/>
        <v>-</v>
      </c>
      <c r="V41" s="115" t="s">
        <v>190</v>
      </c>
    </row>
    <row r="42" spans="1:22" ht="33.75">
      <c r="A42" s="8" t="s">
        <v>152</v>
      </c>
      <c r="B42" s="15" t="s">
        <v>49</v>
      </c>
      <c r="C42" s="27" t="s">
        <v>146</v>
      </c>
      <c r="D42" s="6" t="s">
        <v>51</v>
      </c>
      <c r="F42" s="73">
        <f>'37b'!L$30</f>
        <v>0</v>
      </c>
      <c r="G42" s="74">
        <f>'37b'!L$29</f>
        <v>0</v>
      </c>
      <c r="H42" s="74">
        <f>'37b'!L$27</f>
        <v>0</v>
      </c>
      <c r="I42" s="115" t="str">
        <f>"pounds of TP reduced
per "&amp;'BMP info'!E41&amp;"
per year"</f>
        <v>pounds of TP reduced
per system
per year</v>
      </c>
      <c r="J42" s="83"/>
      <c r="K42" s="103">
        <f>'37b'!D$34</f>
        <v>736.82500000000005</v>
      </c>
      <c r="L42" s="115" t="str">
        <f>"per "&amp;'BMP info'!E41&amp;"
per year"</f>
        <v>per system
per year</v>
      </c>
      <c r="M42" s="83"/>
      <c r="N42" s="62">
        <f t="shared" si="10"/>
        <v>0</v>
      </c>
      <c r="O42" s="75">
        <f t="shared" si="11"/>
        <v>0</v>
      </c>
      <c r="P42" s="75">
        <f t="shared" si="12"/>
        <v>0</v>
      </c>
      <c r="Q42" s="115" t="s">
        <v>137</v>
      </c>
      <c r="R42" s="83"/>
      <c r="S42" s="108" t="str">
        <f t="shared" si="7"/>
        <v>-</v>
      </c>
      <c r="T42" s="112" t="str">
        <f t="shared" si="8"/>
        <v>-</v>
      </c>
      <c r="U42" s="112" t="str">
        <f t="shared" si="9"/>
        <v>-</v>
      </c>
      <c r="V42" s="115" t="s">
        <v>190</v>
      </c>
    </row>
    <row r="43" spans="1:22" ht="33.75">
      <c r="A43" s="8" t="s">
        <v>153</v>
      </c>
      <c r="B43" s="15" t="s">
        <v>49</v>
      </c>
      <c r="C43" s="27" t="s">
        <v>158</v>
      </c>
      <c r="D43" s="6" t="s">
        <v>51</v>
      </c>
      <c r="F43" s="73">
        <f>'37c'!L$30</f>
        <v>0</v>
      </c>
      <c r="G43" s="74">
        <f>'37c'!L$29</f>
        <v>0</v>
      </c>
      <c r="H43" s="74">
        <f>'37c'!L$27</f>
        <v>0</v>
      </c>
      <c r="I43" s="115" t="str">
        <f>"pounds of TP reduced
per "&amp;'BMP info'!E42&amp;"
per year"</f>
        <v>pounds of TP reduced
per system
per year</v>
      </c>
      <c r="J43" s="83"/>
      <c r="K43" s="103">
        <f>'37c'!D$34</f>
        <v>736.82500000000005</v>
      </c>
      <c r="L43" s="115" t="str">
        <f>"per "&amp;'BMP info'!E42&amp;"
per year"</f>
        <v>per system
per year</v>
      </c>
      <c r="M43" s="83"/>
      <c r="N43" s="62">
        <f t="shared" si="10"/>
        <v>0</v>
      </c>
      <c r="O43" s="75">
        <f t="shared" si="11"/>
        <v>0</v>
      </c>
      <c r="P43" s="75">
        <f t="shared" si="12"/>
        <v>0</v>
      </c>
      <c r="Q43" s="115" t="s">
        <v>137</v>
      </c>
      <c r="R43" s="83"/>
      <c r="S43" s="108" t="str">
        <f t="shared" si="7"/>
        <v>-</v>
      </c>
      <c r="T43" s="112" t="str">
        <f t="shared" si="8"/>
        <v>-</v>
      </c>
      <c r="U43" s="112" t="str">
        <f t="shared" si="9"/>
        <v>-</v>
      </c>
      <c r="V43" s="115" t="s">
        <v>190</v>
      </c>
    </row>
    <row r="44" spans="1:22" ht="33.75">
      <c r="A44" s="8" t="s">
        <v>154</v>
      </c>
      <c r="B44" s="15" t="s">
        <v>49</v>
      </c>
      <c r="C44" s="27" t="s">
        <v>144</v>
      </c>
      <c r="D44" s="6" t="s">
        <v>52</v>
      </c>
      <c r="F44" s="73">
        <f>'38a'!L$30</f>
        <v>0</v>
      </c>
      <c r="G44" s="74">
        <f>'38a'!L$29</f>
        <v>0</v>
      </c>
      <c r="H44" s="74">
        <f>'38a'!L$27</f>
        <v>0</v>
      </c>
      <c r="I44" s="115" t="str">
        <f>"pounds of TP reduced
per "&amp;'BMP info'!E43&amp;"
per year"</f>
        <v>pounds of TP reduced
per system
per year</v>
      </c>
      <c r="J44" s="83"/>
      <c r="K44" s="103">
        <f>'38a'!D$34</f>
        <v>193</v>
      </c>
      <c r="L44" s="115" t="str">
        <f>"per "&amp;'BMP info'!E43&amp;"
per year"</f>
        <v>per system
per year</v>
      </c>
      <c r="M44" s="83"/>
      <c r="N44" s="62">
        <f t="shared" si="10"/>
        <v>0</v>
      </c>
      <c r="O44" s="75">
        <f t="shared" si="11"/>
        <v>0</v>
      </c>
      <c r="P44" s="75">
        <f t="shared" si="12"/>
        <v>0</v>
      </c>
      <c r="Q44" s="115" t="s">
        <v>137</v>
      </c>
      <c r="R44" s="83"/>
      <c r="S44" s="108" t="str">
        <f t="shared" si="7"/>
        <v>-</v>
      </c>
      <c r="T44" s="112" t="str">
        <f t="shared" si="8"/>
        <v>-</v>
      </c>
      <c r="U44" s="112" t="str">
        <f t="shared" si="9"/>
        <v>-</v>
      </c>
      <c r="V44" s="115" t="s">
        <v>190</v>
      </c>
    </row>
    <row r="45" spans="1:22" ht="33.75">
      <c r="A45" s="8" t="s">
        <v>155</v>
      </c>
      <c r="B45" s="15" t="s">
        <v>49</v>
      </c>
      <c r="C45" s="27" t="s">
        <v>147</v>
      </c>
      <c r="D45" s="6" t="s">
        <v>52</v>
      </c>
      <c r="F45" s="73">
        <f>'38b'!L$30</f>
        <v>0</v>
      </c>
      <c r="G45" s="74">
        <f>'38b'!L$29</f>
        <v>0</v>
      </c>
      <c r="H45" s="74">
        <f>'38b'!L$27</f>
        <v>0</v>
      </c>
      <c r="I45" s="115" t="str">
        <f>"pounds of TP reduced
per "&amp;'BMP info'!E44&amp;"
per year"</f>
        <v>pounds of TP reduced
per system
per year</v>
      </c>
      <c r="J45" s="83"/>
      <c r="K45" s="103">
        <f>'38b'!D$34</f>
        <v>193</v>
      </c>
      <c r="L45" s="115" t="str">
        <f>"per "&amp;'BMP info'!E44&amp;"
per year"</f>
        <v>per system
per year</v>
      </c>
      <c r="M45" s="83"/>
      <c r="N45" s="62">
        <f t="shared" si="10"/>
        <v>0</v>
      </c>
      <c r="O45" s="75">
        <f t="shared" si="11"/>
        <v>0</v>
      </c>
      <c r="P45" s="75">
        <f t="shared" si="12"/>
        <v>0</v>
      </c>
      <c r="Q45" s="115" t="s">
        <v>137</v>
      </c>
      <c r="R45" s="83"/>
      <c r="S45" s="108" t="str">
        <f t="shared" si="7"/>
        <v>-</v>
      </c>
      <c r="T45" s="112" t="str">
        <f t="shared" si="8"/>
        <v>-</v>
      </c>
      <c r="U45" s="112" t="str">
        <f t="shared" si="9"/>
        <v>-</v>
      </c>
      <c r="V45" s="115" t="s">
        <v>190</v>
      </c>
    </row>
    <row r="46" spans="1:22" ht="33.75">
      <c r="A46" s="8" t="s">
        <v>156</v>
      </c>
      <c r="B46" s="15" t="s">
        <v>49</v>
      </c>
      <c r="C46" s="27" t="s">
        <v>159</v>
      </c>
      <c r="D46" s="6" t="s">
        <v>52</v>
      </c>
      <c r="F46" s="73">
        <f>'38c'!L$30</f>
        <v>0</v>
      </c>
      <c r="G46" s="74">
        <f>'38c'!L$29</f>
        <v>0</v>
      </c>
      <c r="H46" s="74">
        <f>'38c'!L$27</f>
        <v>0</v>
      </c>
      <c r="I46" s="115" t="str">
        <f>"pounds of TP reduced
per "&amp;'BMP info'!E45&amp;"
per year"</f>
        <v>pounds of TP reduced
per system
per year</v>
      </c>
      <c r="J46" s="83"/>
      <c r="K46" s="103">
        <f>'38c'!D$34</f>
        <v>193</v>
      </c>
      <c r="L46" s="115" t="str">
        <f>"per "&amp;'BMP info'!E45&amp;"
per year"</f>
        <v>per system
per year</v>
      </c>
      <c r="M46" s="83"/>
      <c r="N46" s="62">
        <f t="shared" si="10"/>
        <v>0</v>
      </c>
      <c r="O46" s="75">
        <f t="shared" si="11"/>
        <v>0</v>
      </c>
      <c r="P46" s="75">
        <f t="shared" si="12"/>
        <v>0</v>
      </c>
      <c r="Q46" s="115" t="s">
        <v>137</v>
      </c>
      <c r="R46" s="83"/>
      <c r="S46" s="108" t="str">
        <f t="shared" si="7"/>
        <v>-</v>
      </c>
      <c r="T46" s="112" t="str">
        <f t="shared" si="8"/>
        <v>-</v>
      </c>
      <c r="U46" s="112" t="str">
        <f t="shared" si="9"/>
        <v>-</v>
      </c>
      <c r="V46" s="115" t="s">
        <v>190</v>
      </c>
    </row>
    <row r="47" spans="1:22" ht="33.75" customHeight="1">
      <c r="A47" s="8">
        <v>39</v>
      </c>
      <c r="B47" s="16" t="s">
        <v>69</v>
      </c>
      <c r="C47" s="71" t="s">
        <v>21</v>
      </c>
      <c r="D47" s="66" t="s">
        <v>22</v>
      </c>
      <c r="F47" s="73">
        <f>'39'!L$30</f>
        <v>2.5632695834424948</v>
      </c>
      <c r="G47" s="74">
        <f>'39'!L$29</f>
        <v>2.5964437244465022</v>
      </c>
      <c r="H47" s="74">
        <f>'39'!L$27</f>
        <v>2.5964437244465022</v>
      </c>
      <c r="I47" s="115" t="str">
        <f>"pounds of TP reduced
per "&amp;'BMP info'!E46&amp;"
per year"</f>
        <v>pounds of TP reduced
per acre
per year</v>
      </c>
      <c r="J47" s="83"/>
      <c r="K47" s="102">
        <f>'39'!D$34</f>
        <v>0</v>
      </c>
      <c r="L47" s="115" t="str">
        <f>"per "&amp;'BMP info'!E46&amp;"
per year"</f>
        <v>per acre
per year</v>
      </c>
      <c r="M47" s="83"/>
      <c r="N47" s="76" t="str">
        <f t="shared" si="10"/>
        <v>-</v>
      </c>
      <c r="O47" s="77" t="str">
        <f t="shared" si="11"/>
        <v>-</v>
      </c>
      <c r="P47" s="77" t="str">
        <f t="shared" si="12"/>
        <v>-</v>
      </c>
      <c r="Q47" s="115" t="s">
        <v>137</v>
      </c>
      <c r="R47" s="83"/>
      <c r="S47" s="106" t="str">
        <f t="shared" si="7"/>
        <v>-</v>
      </c>
      <c r="T47" s="107" t="str">
        <f t="shared" si="8"/>
        <v>-</v>
      </c>
      <c r="U47" s="107" t="str">
        <f t="shared" si="9"/>
        <v>-</v>
      </c>
      <c r="V47" s="115" t="s">
        <v>190</v>
      </c>
    </row>
    <row r="48" spans="1:22" ht="33.75" customHeight="1">
      <c r="A48" s="8">
        <v>40</v>
      </c>
      <c r="B48" s="16" t="s">
        <v>69</v>
      </c>
      <c r="C48" s="71" t="s">
        <v>290</v>
      </c>
      <c r="D48" s="66" t="s">
        <v>139</v>
      </c>
      <c r="F48" s="73">
        <f>'40'!L$30</f>
        <v>0.16487110399999999</v>
      </c>
      <c r="G48" s="74">
        <f>'40'!L$29</f>
        <v>0.34229123</v>
      </c>
      <c r="H48" s="74">
        <f>'40'!L$27</f>
        <v>0.58970540699999996</v>
      </c>
      <c r="I48" s="115" t="str">
        <f>"pounds of TP reduced
per "&amp;'BMP info'!E47&amp;"
per year"</f>
        <v>pounds of TP reduced
per acre treated
per year</v>
      </c>
      <c r="J48" s="83"/>
      <c r="K48" s="103">
        <f>'40'!D$34</f>
        <v>1038.5999999999999</v>
      </c>
      <c r="L48" s="115" t="str">
        <f>"per "&amp;'BMP info'!E47&amp;"
per year"</f>
        <v>per acre treated
per year</v>
      </c>
      <c r="M48" s="83"/>
      <c r="N48" s="62">
        <f t="shared" ref="N48:N66" si="13">IF($K48=0,"-",1000*F48/$K48)</f>
        <v>0.15874360100134799</v>
      </c>
      <c r="O48" s="63">
        <f t="shared" ref="O48:O66" si="14">IF($K48=0,"-",1000*G48/$K48)</f>
        <v>0.32956983439245141</v>
      </c>
      <c r="P48" s="63">
        <f t="shared" ref="P48:P66" si="15">IF($K48=0,"-",1000*H48/$K48)</f>
        <v>0.56778876083188901</v>
      </c>
      <c r="Q48" s="115" t="s">
        <v>137</v>
      </c>
      <c r="R48" s="83"/>
      <c r="S48" s="108">
        <f t="shared" ref="S48:S66" si="16">IF($K48*H48=0,"-",$K48/H48)</f>
        <v>1761.2183772973274</v>
      </c>
      <c r="T48" s="109">
        <f t="shared" ref="T48:T66" si="17">IF($K48*G48=0,"-",$K48/G48)</f>
        <v>3034.2582835090457</v>
      </c>
      <c r="U48" s="109">
        <f t="shared" ref="U48:U66" si="18">IF($K48*F48=0,"-",$K48/F48)</f>
        <v>6299.4665214348297</v>
      </c>
      <c r="V48" s="115" t="s">
        <v>190</v>
      </c>
    </row>
    <row r="49" spans="1:22" ht="33.75" customHeight="1">
      <c r="A49" s="8">
        <v>41</v>
      </c>
      <c r="B49" s="16" t="s">
        <v>69</v>
      </c>
      <c r="C49" s="71" t="s">
        <v>280</v>
      </c>
      <c r="D49" s="66" t="s">
        <v>23</v>
      </c>
      <c r="F49" s="73">
        <f>'41'!L$30</f>
        <v>0.19985228799999999</v>
      </c>
      <c r="G49" s="74">
        <f>'41'!L$29</f>
        <v>0.35964954199999999</v>
      </c>
      <c r="H49" s="74">
        <f>'41'!L$27</f>
        <v>1.0634071490000001</v>
      </c>
      <c r="I49" s="115" t="str">
        <f>"pounds of TP reduced
per "&amp;'BMP info'!E48&amp;"
per year"</f>
        <v>pounds of TP reduced
per acre treated
per year</v>
      </c>
      <c r="J49" s="83"/>
      <c r="K49" s="103">
        <f>'41'!D$34</f>
        <v>827.45</v>
      </c>
      <c r="L49" s="115" t="str">
        <f>"per "&amp;'BMP info'!E48&amp;"
per year"</f>
        <v>per acre treated
per year</v>
      </c>
      <c r="M49" s="83"/>
      <c r="N49" s="62">
        <f t="shared" si="13"/>
        <v>0.24152793280560755</v>
      </c>
      <c r="O49" s="63">
        <f t="shared" si="14"/>
        <v>0.43464806574415371</v>
      </c>
      <c r="P49" s="63">
        <f t="shared" si="15"/>
        <v>1.2851618212580822</v>
      </c>
      <c r="Q49" s="115" t="s">
        <v>137</v>
      </c>
      <c r="R49" s="83"/>
      <c r="S49" s="108">
        <f t="shared" si="16"/>
        <v>778.11212833965999</v>
      </c>
      <c r="T49" s="109">
        <f t="shared" si="17"/>
        <v>2300.7119525262738</v>
      </c>
      <c r="U49" s="109">
        <f t="shared" si="18"/>
        <v>4140.3078657773485</v>
      </c>
      <c r="V49" s="115" t="s">
        <v>190</v>
      </c>
    </row>
    <row r="50" spans="1:22" ht="33.75" customHeight="1">
      <c r="A50" s="8">
        <v>42</v>
      </c>
      <c r="B50" s="16" t="s">
        <v>69</v>
      </c>
      <c r="C50" s="71" t="s">
        <v>281</v>
      </c>
      <c r="D50" s="66" t="s">
        <v>24</v>
      </c>
      <c r="F50" s="73">
        <f>'42'!L$30</f>
        <v>1.7832047E-2</v>
      </c>
      <c r="G50" s="74">
        <f>'42'!L$29</f>
        <v>4.7098306E-2</v>
      </c>
      <c r="H50" s="74">
        <f>'42'!L$27</f>
        <v>7.8611777999999993E-2</v>
      </c>
      <c r="I50" s="115" t="str">
        <f>"pounds of TP reduced
per "&amp;'BMP info'!E49&amp;"
per year"</f>
        <v>pounds of TP reduced
per acre treated
per year</v>
      </c>
      <c r="J50" s="83"/>
      <c r="K50" s="103">
        <f>'42'!D$34</f>
        <v>1120.8499999999999</v>
      </c>
      <c r="L50" s="115" t="str">
        <f>"per "&amp;'BMP info'!E49&amp;"
per year"</f>
        <v>per acre treated
per year</v>
      </c>
      <c r="M50" s="83"/>
      <c r="N50" s="62">
        <f t="shared" si="13"/>
        <v>1.5909396440201635E-2</v>
      </c>
      <c r="O50" s="63">
        <f t="shared" si="14"/>
        <v>4.2020168622027933E-2</v>
      </c>
      <c r="P50" s="63">
        <f t="shared" si="15"/>
        <v>7.0135859392425379E-2</v>
      </c>
      <c r="Q50" s="115" t="s">
        <v>137</v>
      </c>
      <c r="R50" s="83"/>
      <c r="S50" s="108">
        <f t="shared" si="16"/>
        <v>14258.041587610447</v>
      </c>
      <c r="T50" s="109">
        <f t="shared" si="17"/>
        <v>23798.095838096597</v>
      </c>
      <c r="U50" s="109">
        <f t="shared" si="18"/>
        <v>62855.935720671885</v>
      </c>
      <c r="V50" s="115" t="s">
        <v>190</v>
      </c>
    </row>
    <row r="51" spans="1:22" ht="33.75" customHeight="1">
      <c r="A51" s="8">
        <v>43</v>
      </c>
      <c r="B51" s="16" t="s">
        <v>69</v>
      </c>
      <c r="C51" s="71" t="s">
        <v>26</v>
      </c>
      <c r="D51" s="66" t="s">
        <v>27</v>
      </c>
      <c r="F51" s="73">
        <f>'43'!L$30</f>
        <v>1.0677170229999999</v>
      </c>
      <c r="G51" s="74">
        <f>'43'!L$29</f>
        <v>1.722652114</v>
      </c>
      <c r="H51" s="74">
        <f>'43'!L$27</f>
        <v>2.0632911389999999</v>
      </c>
      <c r="I51" s="115" t="str">
        <f>"pounds of TP reduced
per "&amp;'BMP info'!E50&amp;"
per year"</f>
        <v>pounds of TP reduced
per acre treated
per year</v>
      </c>
      <c r="J51" s="83"/>
      <c r="K51" s="103">
        <f>'43'!D$34</f>
        <v>1305</v>
      </c>
      <c r="L51" s="115" t="str">
        <f>"per "&amp;'BMP info'!E50&amp;"
per year"</f>
        <v>per acre treated
per year</v>
      </c>
      <c r="M51" s="83"/>
      <c r="N51" s="62">
        <f t="shared" si="13"/>
        <v>0.81817396398467424</v>
      </c>
      <c r="O51" s="63">
        <f t="shared" si="14"/>
        <v>1.320039934099617</v>
      </c>
      <c r="P51" s="63">
        <f t="shared" si="15"/>
        <v>1.5810660068965516</v>
      </c>
      <c r="Q51" s="115" t="s">
        <v>137</v>
      </c>
      <c r="R51" s="83"/>
      <c r="S51" s="108">
        <f t="shared" si="16"/>
        <v>632.48466265041236</v>
      </c>
      <c r="T51" s="109">
        <f t="shared" si="17"/>
        <v>757.55283924958519</v>
      </c>
      <c r="U51" s="109">
        <f t="shared" si="18"/>
        <v>1222.2339551478708</v>
      </c>
      <c r="V51" s="115" t="s">
        <v>190</v>
      </c>
    </row>
    <row r="52" spans="1:22" ht="33.75" customHeight="1">
      <c r="A52" s="8">
        <v>44</v>
      </c>
      <c r="B52" s="16" t="s">
        <v>69</v>
      </c>
      <c r="C52" s="71" t="s">
        <v>66</v>
      </c>
      <c r="D52" s="66" t="s">
        <v>28</v>
      </c>
      <c r="F52" s="73">
        <f>'44'!L$30</f>
        <v>0.26</v>
      </c>
      <c r="G52" s="74">
        <f>'44'!L$29</f>
        <v>0.67</v>
      </c>
      <c r="H52" s="74">
        <f>'44'!L$27</f>
        <v>1.08</v>
      </c>
      <c r="I52" s="115" t="str">
        <f>"pounds of TP reduced
per "&amp;'BMP info'!E51&amp;"
per year"</f>
        <v>pounds of TP reduced
per acre treated
per year</v>
      </c>
      <c r="J52" s="83"/>
      <c r="K52" s="103">
        <f>'44'!D$34</f>
        <v>1305</v>
      </c>
      <c r="L52" s="115" t="str">
        <f>"per "&amp;'BMP info'!E51&amp;"
per year"</f>
        <v>per acre treated
per year</v>
      </c>
      <c r="M52" s="83"/>
      <c r="N52" s="62">
        <f t="shared" si="13"/>
        <v>0.19923371647509577</v>
      </c>
      <c r="O52" s="63">
        <f t="shared" si="14"/>
        <v>0.51340996168582376</v>
      </c>
      <c r="P52" s="63">
        <f t="shared" si="15"/>
        <v>0.82758620689655171</v>
      </c>
      <c r="Q52" s="115" t="s">
        <v>137</v>
      </c>
      <c r="R52" s="83"/>
      <c r="S52" s="108">
        <f t="shared" si="16"/>
        <v>1208.3333333333333</v>
      </c>
      <c r="T52" s="109">
        <f t="shared" si="17"/>
        <v>1947.7611940298507</v>
      </c>
      <c r="U52" s="109">
        <f t="shared" si="18"/>
        <v>5019.2307692307695</v>
      </c>
      <c r="V52" s="115" t="s">
        <v>190</v>
      </c>
    </row>
    <row r="53" spans="1:22" ht="33.75" customHeight="1">
      <c r="A53" s="8">
        <v>45</v>
      </c>
      <c r="B53" s="16" t="s">
        <v>69</v>
      </c>
      <c r="C53" s="71" t="s">
        <v>282</v>
      </c>
      <c r="D53" s="66" t="s">
        <v>25</v>
      </c>
      <c r="F53" s="73">
        <f>'45'!L$30</f>
        <v>3.2752613E-2</v>
      </c>
      <c r="G53" s="74">
        <f>'45'!L$29</f>
        <v>9.4237628000000004E-2</v>
      </c>
      <c r="H53" s="74">
        <f>'45'!L$27</f>
        <v>0.12921038100000001</v>
      </c>
      <c r="I53" s="115" t="str">
        <f>"pounds of TP reduced
per "&amp;'BMP info'!E52&amp;"
per year"</f>
        <v>pounds of TP reduced
per acre treated
per year</v>
      </c>
      <c r="J53" s="83"/>
      <c r="K53" s="103">
        <f>'45'!D$34</f>
        <v>614.75</v>
      </c>
      <c r="L53" s="115" t="str">
        <f>"per "&amp;'BMP info'!E52&amp;"
per year"</f>
        <v>per acre treated
per year</v>
      </c>
      <c r="M53" s="83"/>
      <c r="N53" s="62">
        <f t="shared" si="13"/>
        <v>5.3277938999593329E-2</v>
      </c>
      <c r="O53" s="63">
        <f t="shared" si="14"/>
        <v>0.15329423017486785</v>
      </c>
      <c r="P53" s="63">
        <f t="shared" si="15"/>
        <v>0.21018362098413992</v>
      </c>
      <c r="Q53" s="115" t="s">
        <v>137</v>
      </c>
      <c r="R53" s="83"/>
      <c r="S53" s="108">
        <f t="shared" si="16"/>
        <v>4757.7446583026476</v>
      </c>
      <c r="T53" s="109">
        <f t="shared" si="17"/>
        <v>6523.4027325051093</v>
      </c>
      <c r="U53" s="109">
        <f t="shared" si="18"/>
        <v>18769.494818627143</v>
      </c>
      <c r="V53" s="115" t="s">
        <v>190</v>
      </c>
    </row>
    <row r="54" spans="1:22" ht="33.75" customHeight="1">
      <c r="A54" s="8">
        <v>46</v>
      </c>
      <c r="B54" s="16" t="s">
        <v>69</v>
      </c>
      <c r="C54" s="71" t="s">
        <v>283</v>
      </c>
      <c r="D54" s="66" t="s">
        <v>36</v>
      </c>
      <c r="F54" s="73">
        <f>'46'!L$30</f>
        <v>0.14990378900000001</v>
      </c>
      <c r="G54" s="74">
        <f>'46'!L$29</f>
        <v>0.24589095599999999</v>
      </c>
      <c r="H54" s="74">
        <f>'46'!L$27</f>
        <v>0.45418513300000002</v>
      </c>
      <c r="I54" s="115" t="str">
        <f>"pounds of TP reduced
per "&amp;'BMP info'!E53&amp;"
per year"</f>
        <v>pounds of TP reduced
per acre treated
per year</v>
      </c>
      <c r="J54" s="83"/>
      <c r="K54" s="103">
        <f>'46'!D$34</f>
        <v>1465.35</v>
      </c>
      <c r="L54" s="115" t="str">
        <f>"per "&amp;'BMP info'!E53&amp;"
per year"</f>
        <v>per acre treated
per year</v>
      </c>
      <c r="M54" s="83"/>
      <c r="N54" s="62">
        <f t="shared" si="13"/>
        <v>0.10229896543487906</v>
      </c>
      <c r="O54" s="63">
        <f t="shared" si="14"/>
        <v>0.16780356638345789</v>
      </c>
      <c r="P54" s="63">
        <f t="shared" si="15"/>
        <v>0.3099499320981336</v>
      </c>
      <c r="Q54" s="115" t="s">
        <v>137</v>
      </c>
      <c r="R54" s="83"/>
      <c r="S54" s="108">
        <f t="shared" si="16"/>
        <v>3226.3275337107962</v>
      </c>
      <c r="T54" s="109">
        <f t="shared" si="17"/>
        <v>5959.3489074888948</v>
      </c>
      <c r="U54" s="109">
        <f t="shared" si="18"/>
        <v>9775.2699232972682</v>
      </c>
      <c r="V54" s="115" t="s">
        <v>190</v>
      </c>
    </row>
    <row r="55" spans="1:22" ht="33.75" customHeight="1">
      <c r="A55" s="8">
        <v>47</v>
      </c>
      <c r="B55" s="16" t="s">
        <v>69</v>
      </c>
      <c r="C55" s="71" t="s">
        <v>37</v>
      </c>
      <c r="D55" s="66" t="s">
        <v>38</v>
      </c>
      <c r="F55" s="73">
        <f>'47'!L$30</f>
        <v>0.19541583200000001</v>
      </c>
      <c r="G55" s="74">
        <f>'47'!L$29</f>
        <v>0.40154056199999999</v>
      </c>
      <c r="H55" s="74">
        <f>'47'!L$27</f>
        <v>0.57054070899999998</v>
      </c>
      <c r="I55" s="115" t="str">
        <f>"pounds of TP reduced
per "&amp;'BMP info'!E54&amp;"
per year"</f>
        <v>pounds of TP reduced
per acre
per year</v>
      </c>
      <c r="J55" s="83"/>
      <c r="K55" s="104">
        <f>'47'!D$34</f>
        <v>531.375</v>
      </c>
      <c r="L55" s="115" t="str">
        <f>"per "&amp;'BMP info'!E54&amp;"
per year"</f>
        <v>per acre
per year</v>
      </c>
      <c r="M55" s="83"/>
      <c r="N55" s="62">
        <f t="shared" si="13"/>
        <v>0.36775503552105393</v>
      </c>
      <c r="O55" s="63">
        <f t="shared" si="14"/>
        <v>0.75566325476358498</v>
      </c>
      <c r="P55" s="63">
        <f t="shared" si="15"/>
        <v>1.073706344860033</v>
      </c>
      <c r="Q55" s="115" t="s">
        <v>137</v>
      </c>
      <c r="R55" s="83"/>
      <c r="S55" s="108">
        <f t="shared" si="16"/>
        <v>931.35334888084208</v>
      </c>
      <c r="T55" s="109">
        <f t="shared" si="17"/>
        <v>1323.3407787081794</v>
      </c>
      <c r="U55" s="109">
        <f t="shared" si="18"/>
        <v>2719.2013797530999</v>
      </c>
      <c r="V55" s="115" t="s">
        <v>190</v>
      </c>
    </row>
    <row r="56" spans="1:22" ht="33.75" customHeight="1">
      <c r="A56" s="8">
        <v>48</v>
      </c>
      <c r="B56" s="16" t="s">
        <v>69</v>
      </c>
      <c r="C56" s="71" t="s">
        <v>29</v>
      </c>
      <c r="D56" s="66" t="s">
        <v>30</v>
      </c>
      <c r="F56" s="73">
        <f>'48'!L$30</f>
        <v>7.7661805E-2</v>
      </c>
      <c r="G56" s="74">
        <f>'48'!L$29</f>
        <v>0.22587676800000001</v>
      </c>
      <c r="H56" s="74">
        <f>'48'!L$27</f>
        <v>0.35520819999999997</v>
      </c>
      <c r="I56" s="115" t="str">
        <f>"pounds of TP reduced
per "&amp;'BMP info'!E55&amp;"
per year"</f>
        <v>pounds of TP reduced
per acre
per year</v>
      </c>
      <c r="J56" s="83"/>
      <c r="K56" s="104">
        <f>'48'!D$34</f>
        <v>0</v>
      </c>
      <c r="L56" s="115" t="str">
        <f>"per "&amp;'BMP info'!E55&amp;"
per year"</f>
        <v>per acre
per year</v>
      </c>
      <c r="M56" s="83"/>
      <c r="N56" s="62" t="str">
        <f t="shared" si="13"/>
        <v>-</v>
      </c>
      <c r="O56" s="63" t="str">
        <f t="shared" si="14"/>
        <v>-</v>
      </c>
      <c r="P56" s="63" t="str">
        <f t="shared" si="15"/>
        <v>-</v>
      </c>
      <c r="Q56" s="115" t="s">
        <v>137</v>
      </c>
      <c r="R56" s="83"/>
      <c r="S56" s="108" t="str">
        <f t="shared" si="16"/>
        <v>-</v>
      </c>
      <c r="T56" s="109" t="str">
        <f t="shared" si="17"/>
        <v>-</v>
      </c>
      <c r="U56" s="109" t="str">
        <f t="shared" si="18"/>
        <v>-</v>
      </c>
      <c r="V56" s="115" t="s">
        <v>190</v>
      </c>
    </row>
    <row r="57" spans="1:22" ht="33.75" customHeight="1">
      <c r="A57" s="8">
        <v>49</v>
      </c>
      <c r="B57" s="16" t="s">
        <v>69</v>
      </c>
      <c r="C57" s="71" t="s">
        <v>31</v>
      </c>
      <c r="D57" s="66" t="s">
        <v>32</v>
      </c>
      <c r="F57" s="73">
        <f>'49'!L$30</f>
        <v>0.57990649699999997</v>
      </c>
      <c r="G57" s="74">
        <f>'49'!L$29</f>
        <v>0.96192264800000005</v>
      </c>
      <c r="H57" s="74">
        <f>'49'!L$27</f>
        <v>1.198303855</v>
      </c>
      <c r="I57" s="115" t="str">
        <f>"pounds of TP reduced
per "&amp;'BMP info'!E56&amp;"
per year"</f>
        <v>pounds of TP reduced
per acre
per year</v>
      </c>
      <c r="J57" s="83"/>
      <c r="K57" s="104">
        <f>'49'!D$34</f>
        <v>8684.6</v>
      </c>
      <c r="L57" s="115" t="str">
        <f>"per "&amp;'BMP info'!E56&amp;"
per year"</f>
        <v>per acre
per year</v>
      </c>
      <c r="M57" s="83"/>
      <c r="N57" s="62">
        <f t="shared" si="13"/>
        <v>6.6774117057780427E-2</v>
      </c>
      <c r="O57" s="63">
        <f t="shared" si="14"/>
        <v>0.11076188287313175</v>
      </c>
      <c r="P57" s="63">
        <f t="shared" si="15"/>
        <v>0.13798031630702623</v>
      </c>
      <c r="Q57" s="115" t="s">
        <v>137</v>
      </c>
      <c r="R57" s="83"/>
      <c r="S57" s="108">
        <f t="shared" si="16"/>
        <v>7247.4105493051256</v>
      </c>
      <c r="T57" s="109">
        <f t="shared" si="17"/>
        <v>9028.3766767075849</v>
      </c>
      <c r="U57" s="109">
        <f t="shared" si="18"/>
        <v>14975.862565650823</v>
      </c>
      <c r="V57" s="115" t="s">
        <v>190</v>
      </c>
    </row>
    <row r="58" spans="1:22" ht="33.75" customHeight="1">
      <c r="A58" s="8">
        <v>50</v>
      </c>
      <c r="B58" s="16" t="s">
        <v>69</v>
      </c>
      <c r="C58" s="71" t="s">
        <v>284</v>
      </c>
      <c r="D58" s="66" t="s">
        <v>39</v>
      </c>
      <c r="F58" s="73">
        <f>'50'!L$30</f>
        <v>0.28106287400000002</v>
      </c>
      <c r="G58" s="74">
        <f>'50'!L$29</f>
        <v>0.45471556899999999</v>
      </c>
      <c r="H58" s="74">
        <f>'50'!L$27</f>
        <v>0.95971928500000003</v>
      </c>
      <c r="I58" s="115" t="str">
        <f>"pounds of TP reduced
per "&amp;'BMP info'!E57&amp;"
per year"</f>
        <v>pounds of TP reduced
per acre treated
per year</v>
      </c>
      <c r="J58" s="83"/>
      <c r="K58" s="103">
        <f>'50'!D$34</f>
        <v>1114.9000000000001</v>
      </c>
      <c r="L58" s="115" t="str">
        <f>"per "&amp;'BMP info'!E57&amp;"
per year"</f>
        <v>per acre treated
per year</v>
      </c>
      <c r="M58" s="83"/>
      <c r="N58" s="62">
        <f t="shared" si="13"/>
        <v>0.25209693604807604</v>
      </c>
      <c r="O58" s="63">
        <f t="shared" si="14"/>
        <v>0.40785323257691264</v>
      </c>
      <c r="P58" s="63">
        <f t="shared" si="15"/>
        <v>0.86081198762220823</v>
      </c>
      <c r="Q58" s="115" t="s">
        <v>137</v>
      </c>
      <c r="R58" s="83"/>
      <c r="S58" s="108">
        <f t="shared" si="16"/>
        <v>1161.6938592621905</v>
      </c>
      <c r="T58" s="109">
        <f t="shared" si="17"/>
        <v>2451.8623860886541</v>
      </c>
      <c r="U58" s="109">
        <f t="shared" si="18"/>
        <v>3966.7280994216262</v>
      </c>
      <c r="V58" s="115" t="s">
        <v>190</v>
      </c>
    </row>
    <row r="59" spans="1:22" ht="33.75" customHeight="1">
      <c r="A59" s="8">
        <v>51</v>
      </c>
      <c r="B59" s="16" t="s">
        <v>69</v>
      </c>
      <c r="C59" s="71" t="s">
        <v>285</v>
      </c>
      <c r="D59" s="66" t="s">
        <v>40</v>
      </c>
      <c r="F59" s="73">
        <f>'51'!L$30</f>
        <v>0.22926260900000001</v>
      </c>
      <c r="G59" s="74">
        <f>'51'!L$29</f>
        <v>0.47368421100000002</v>
      </c>
      <c r="H59" s="74">
        <f>'51'!L$27</f>
        <v>0.585599749</v>
      </c>
      <c r="I59" s="115" t="str">
        <f>"pounds of TP reduced
per "&amp;'BMP info'!E58&amp;"
per year"</f>
        <v>pounds of TP reduced
per acre treated
per year</v>
      </c>
      <c r="J59" s="83"/>
      <c r="K59" s="103">
        <f>'51'!D$34</f>
        <v>1137.4000000000001</v>
      </c>
      <c r="L59" s="115" t="str">
        <f>"per "&amp;'BMP info'!E58&amp;"
per year"</f>
        <v>per acre treated
per year</v>
      </c>
      <c r="M59" s="83"/>
      <c r="N59" s="62">
        <f t="shared" si="13"/>
        <v>0.20156726657288551</v>
      </c>
      <c r="O59" s="63">
        <f t="shared" si="14"/>
        <v>0.41646229206963248</v>
      </c>
      <c r="P59" s="63">
        <f t="shared" si="15"/>
        <v>0.51485822841568485</v>
      </c>
      <c r="Q59" s="115" t="s">
        <v>137</v>
      </c>
      <c r="R59" s="83"/>
      <c r="S59" s="108">
        <f t="shared" si="16"/>
        <v>1942.2822532664713</v>
      </c>
      <c r="T59" s="109">
        <f t="shared" si="17"/>
        <v>2401.1777753766</v>
      </c>
      <c r="U59" s="109">
        <f t="shared" si="18"/>
        <v>4961.1229888777898</v>
      </c>
      <c r="V59" s="115" t="s">
        <v>190</v>
      </c>
    </row>
    <row r="60" spans="1:22" ht="33.75" customHeight="1">
      <c r="A60" s="8">
        <v>52</v>
      </c>
      <c r="B60" s="16" t="s">
        <v>69</v>
      </c>
      <c r="C60" s="71" t="s">
        <v>286</v>
      </c>
      <c r="D60" s="66" t="s">
        <v>138</v>
      </c>
      <c r="F60" s="73">
        <f>'52'!L$30</f>
        <v>0.24062059199999999</v>
      </c>
      <c r="G60" s="74">
        <f>'52'!L$29</f>
        <v>0.316286448</v>
      </c>
      <c r="H60" s="74">
        <f>'52'!L$27</f>
        <v>0.34505640399999998</v>
      </c>
      <c r="I60" s="115" t="str">
        <f>"pounds of TP reduced
per "&amp;'BMP info'!E59&amp;"
per year"</f>
        <v>pounds of TP reduced
per acre treated
per year</v>
      </c>
      <c r="J60" s="83"/>
      <c r="K60" s="104">
        <f>'52'!D$34</f>
        <v>4957.6499999999996</v>
      </c>
      <c r="L60" s="115" t="str">
        <f>"per "&amp;'BMP info'!E59&amp;"
per year"</f>
        <v>per acre treated
per year</v>
      </c>
      <c r="M60" s="83"/>
      <c r="N60" s="62">
        <f t="shared" si="13"/>
        <v>4.853521164261293E-2</v>
      </c>
      <c r="O60" s="63">
        <f t="shared" si="14"/>
        <v>6.3797655744152984E-2</v>
      </c>
      <c r="P60" s="63">
        <f t="shared" si="15"/>
        <v>6.9600799572378039E-2</v>
      </c>
      <c r="Q60" s="115" t="s">
        <v>137</v>
      </c>
      <c r="R60" s="83"/>
      <c r="S60" s="108">
        <f t="shared" si="16"/>
        <v>14367.651034814586</v>
      </c>
      <c r="T60" s="109">
        <f t="shared" si="17"/>
        <v>15674.557134360684</v>
      </c>
      <c r="U60" s="109">
        <f t="shared" si="18"/>
        <v>20603.598215733753</v>
      </c>
      <c r="V60" s="115" t="s">
        <v>190</v>
      </c>
    </row>
    <row r="61" spans="1:22" ht="33.75" customHeight="1">
      <c r="A61" s="8">
        <v>53</v>
      </c>
      <c r="B61" s="16" t="s">
        <v>69</v>
      </c>
      <c r="C61" s="71" t="s">
        <v>287</v>
      </c>
      <c r="D61" s="66" t="s">
        <v>33</v>
      </c>
      <c r="F61" s="73">
        <f>'53'!L$30</f>
        <v>6.1651579999999997E-2</v>
      </c>
      <c r="G61" s="74">
        <f>'53'!L$29</f>
        <v>0.17727436999999999</v>
      </c>
      <c r="H61" s="74">
        <f>'53'!L$27</f>
        <v>0.37245161700000001</v>
      </c>
      <c r="I61" s="115" t="str">
        <f>"pounds of TP reduced
per "&amp;'BMP info'!E60&amp;"
per year"</f>
        <v>pounds of TP reduced
per acre treated
per year</v>
      </c>
      <c r="J61" s="83"/>
      <c r="K61" s="103">
        <f>'53'!D$34</f>
        <v>1621.6</v>
      </c>
      <c r="L61" s="115" t="str">
        <f>"per "&amp;'BMP info'!E60&amp;"
per year"</f>
        <v>per acre treated
per year</v>
      </c>
      <c r="M61" s="83"/>
      <c r="N61" s="62">
        <f t="shared" si="13"/>
        <v>3.8018981253083374E-2</v>
      </c>
      <c r="O61" s="63">
        <f t="shared" si="14"/>
        <v>0.10932065244203255</v>
      </c>
      <c r="P61" s="63">
        <f t="shared" si="15"/>
        <v>0.22968155957079428</v>
      </c>
      <c r="Q61" s="115" t="s">
        <v>137</v>
      </c>
      <c r="R61" s="83"/>
      <c r="S61" s="108">
        <f t="shared" si="16"/>
        <v>4353.8541007327667</v>
      </c>
      <c r="T61" s="109">
        <f t="shared" si="17"/>
        <v>9147.4024135581476</v>
      </c>
      <c r="U61" s="109">
        <f t="shared" si="18"/>
        <v>26302.651124269647</v>
      </c>
      <c r="V61" s="115" t="s">
        <v>190</v>
      </c>
    </row>
    <row r="62" spans="1:22" ht="33.75" customHeight="1">
      <c r="A62" s="8">
        <v>54</v>
      </c>
      <c r="B62" s="16" t="s">
        <v>69</v>
      </c>
      <c r="C62" s="71" t="s">
        <v>34</v>
      </c>
      <c r="D62" s="66" t="s">
        <v>35</v>
      </c>
      <c r="F62" s="73">
        <f>'54'!L$30</f>
        <v>1.63384390955491E-2</v>
      </c>
      <c r="G62" s="74">
        <f>'54'!L$29</f>
        <v>2.0426262337290762E-2</v>
      </c>
      <c r="H62" s="74">
        <f>'54'!L$27</f>
        <v>2.6236689423771973E-2</v>
      </c>
      <c r="I62" s="115" t="str">
        <f>"pounds of TP reduced
per "&amp;'BMP info'!E61&amp;"
per year"</f>
        <v>pounds of TP reduced
per acre
per year</v>
      </c>
      <c r="J62" s="83"/>
      <c r="K62" s="103">
        <f>'54'!D$34</f>
        <v>743.45</v>
      </c>
      <c r="L62" s="115" t="str">
        <f>"per "&amp;'BMP info'!E61&amp;"
per year"</f>
        <v>per acre
per year</v>
      </c>
      <c r="M62" s="83"/>
      <c r="N62" s="62">
        <f t="shared" si="13"/>
        <v>2.1976513680205929E-2</v>
      </c>
      <c r="O62" s="63">
        <f t="shared" si="14"/>
        <v>2.747496447278332E-2</v>
      </c>
      <c r="P62" s="63">
        <f t="shared" si="15"/>
        <v>3.5290455879712114E-2</v>
      </c>
      <c r="Q62" s="115" t="s">
        <v>137</v>
      </c>
      <c r="R62" s="83"/>
      <c r="S62" s="108">
        <f t="shared" si="16"/>
        <v>28336.273223800519</v>
      </c>
      <c r="T62" s="109">
        <f t="shared" si="17"/>
        <v>36396.77135854349</v>
      </c>
      <c r="U62" s="109">
        <f t="shared" si="18"/>
        <v>45503.122767861583</v>
      </c>
      <c r="V62" s="115" t="s">
        <v>190</v>
      </c>
    </row>
    <row r="63" spans="1:22" ht="33.75" customHeight="1">
      <c r="A63" s="8">
        <v>55</v>
      </c>
      <c r="B63" s="16" t="s">
        <v>69</v>
      </c>
      <c r="C63" s="71" t="s">
        <v>41</v>
      </c>
      <c r="D63" s="66" t="s">
        <v>42</v>
      </c>
      <c r="F63" s="73">
        <f>'55'!L$30</f>
        <v>2.2311666165111838E-2</v>
      </c>
      <c r="G63" s="74">
        <f>'55'!L$29</f>
        <v>4.7740211915143591E-2</v>
      </c>
      <c r="H63" s="74">
        <f>'55'!L$27</f>
        <v>6.0388587432172285E-2</v>
      </c>
      <c r="I63" s="115" t="str">
        <f>"pounds of TP reduced
per "&amp;'BMP info'!E62&amp;"
per year"</f>
        <v>pounds of TP reduced
per acre
per year</v>
      </c>
      <c r="J63" s="83"/>
      <c r="K63" s="103">
        <f>'55'!D$34</f>
        <v>147.5</v>
      </c>
      <c r="L63" s="115" t="str">
        <f>"per "&amp;'BMP info'!E62&amp;"
per year"</f>
        <v>per acre
per year</v>
      </c>
      <c r="M63" s="83"/>
      <c r="N63" s="62">
        <f t="shared" si="13"/>
        <v>0.15126553332279213</v>
      </c>
      <c r="O63" s="63">
        <f t="shared" si="14"/>
        <v>0.32366245366199042</v>
      </c>
      <c r="P63" s="63">
        <f t="shared" si="15"/>
        <v>0.40941415208252396</v>
      </c>
      <c r="Q63" s="115" t="s">
        <v>137</v>
      </c>
      <c r="R63" s="83"/>
      <c r="S63" s="108">
        <f t="shared" si="16"/>
        <v>2442.5144927536212</v>
      </c>
      <c r="T63" s="109">
        <f t="shared" si="17"/>
        <v>3089.6385684708657</v>
      </c>
      <c r="U63" s="109">
        <f t="shared" si="18"/>
        <v>6610.8913116780959</v>
      </c>
      <c r="V63" s="115" t="s">
        <v>190</v>
      </c>
    </row>
    <row r="64" spans="1:22" ht="33.75" customHeight="1">
      <c r="A64" s="8">
        <v>56</v>
      </c>
      <c r="B64" s="16" t="s">
        <v>69</v>
      </c>
      <c r="C64" s="71" t="s">
        <v>44</v>
      </c>
      <c r="D64" s="66" t="s">
        <v>45</v>
      </c>
      <c r="F64" s="73">
        <f>'56'!L$30</f>
        <v>3.4039445000000002E-2</v>
      </c>
      <c r="G64" s="74">
        <f>'56'!L$29</f>
        <v>0.19379562</v>
      </c>
      <c r="H64" s="74">
        <f>'56'!L$27</f>
        <v>0.34300971899999999</v>
      </c>
      <c r="I64" s="115" t="str">
        <f>"pounds of TP reduced
per "&amp;'BMP info'!E63&amp;"
per year"</f>
        <v>pounds of TP reduced
per acre
per year</v>
      </c>
      <c r="J64" s="83"/>
      <c r="K64" s="104">
        <f>'56'!D$34</f>
        <v>2009.75</v>
      </c>
      <c r="L64" s="115" t="str">
        <f>"per "&amp;'BMP info'!E63&amp;"
per year"</f>
        <v>per acre
per year</v>
      </c>
      <c r="M64" s="83"/>
      <c r="N64" s="62">
        <f t="shared" si="13"/>
        <v>1.6937153874860056E-2</v>
      </c>
      <c r="O64" s="63">
        <f t="shared" si="14"/>
        <v>9.6427724841398194E-2</v>
      </c>
      <c r="P64" s="63">
        <f t="shared" si="15"/>
        <v>0.17067282945640005</v>
      </c>
      <c r="Q64" s="115" t="s">
        <v>137</v>
      </c>
      <c r="R64" s="83"/>
      <c r="S64" s="108">
        <f t="shared" si="16"/>
        <v>5859.1634250456909</v>
      </c>
      <c r="T64" s="109">
        <f t="shared" si="17"/>
        <v>10370.461417033057</v>
      </c>
      <c r="U64" s="109">
        <f t="shared" si="18"/>
        <v>59041.796950567201</v>
      </c>
      <c r="V64" s="115" t="s">
        <v>190</v>
      </c>
    </row>
    <row r="65" spans="1:22" ht="33.75" customHeight="1">
      <c r="A65" s="8">
        <v>57</v>
      </c>
      <c r="B65" s="16" t="s">
        <v>69</v>
      </c>
      <c r="C65" s="71" t="s">
        <v>67</v>
      </c>
      <c r="D65" s="66" t="s">
        <v>43</v>
      </c>
      <c r="F65" s="73">
        <f>'57'!L$30</f>
        <v>6.7647052079057688E-4</v>
      </c>
      <c r="G65" s="74">
        <f>'57'!L$29</f>
        <v>1.9293324671962654E-3</v>
      </c>
      <c r="H65" s="74">
        <f>'57'!L$27</f>
        <v>2.5003110821561138E-3</v>
      </c>
      <c r="I65" s="115" t="str">
        <f>"pounds of TP reduced
per "&amp;'BMP info'!E64&amp;"
per year"</f>
        <v>pounds of TP reduced
per foot
per year</v>
      </c>
      <c r="J65" s="83"/>
      <c r="K65" s="103">
        <f>'57'!D$34</f>
        <v>41.004999999999995</v>
      </c>
      <c r="L65" s="115" t="str">
        <f>"per "&amp;'BMP info'!E64&amp;"
per year"</f>
        <v>per foot
per year</v>
      </c>
      <c r="M65" s="83"/>
      <c r="N65" s="62">
        <f t="shared" si="13"/>
        <v>1.6497269132802757E-2</v>
      </c>
      <c r="O65" s="63">
        <f t="shared" si="14"/>
        <v>4.7051151498506659E-2</v>
      </c>
      <c r="P65" s="63">
        <f t="shared" si="15"/>
        <v>6.0975761057337256E-2</v>
      </c>
      <c r="Q65" s="115" t="s">
        <v>137</v>
      </c>
      <c r="R65" s="83"/>
      <c r="S65" s="108">
        <f t="shared" si="16"/>
        <v>16399.959306119548</v>
      </c>
      <c r="T65" s="109">
        <f t="shared" si="17"/>
        <v>21253.464966351326</v>
      </c>
      <c r="U65" s="109">
        <f t="shared" si="18"/>
        <v>60616.092999999935</v>
      </c>
      <c r="V65" s="115" t="s">
        <v>190</v>
      </c>
    </row>
    <row r="66" spans="1:22" ht="33.75" customHeight="1">
      <c r="A66" s="252">
        <v>58</v>
      </c>
      <c r="B66" s="16" t="s">
        <v>69</v>
      </c>
      <c r="C66" s="71" t="s">
        <v>288</v>
      </c>
      <c r="D66" s="253" t="s">
        <v>140</v>
      </c>
      <c r="F66" s="73">
        <f>'58'!L$30</f>
        <v>9.8920862999999998E-2</v>
      </c>
      <c r="G66" s="74">
        <f>'58'!L$29</f>
        <v>0.13675958699999999</v>
      </c>
      <c r="H66" s="74">
        <f>'58'!L$27</f>
        <v>0.415311918</v>
      </c>
      <c r="I66" s="115" t="str">
        <f>"pounds of TP reduced
per "&amp;'BMP info'!E65&amp;"
per year"</f>
        <v>pounds of TP reduced
per acre treated
per year</v>
      </c>
      <c r="J66" s="83"/>
      <c r="K66" s="103">
        <f>'58'!D$34</f>
        <v>499.05</v>
      </c>
      <c r="L66" s="115" t="str">
        <f>"per "&amp;'BMP info'!E65&amp;"
per year"</f>
        <v>per acre treated
per year</v>
      </c>
      <c r="M66" s="83"/>
      <c r="N66" s="62">
        <f t="shared" si="13"/>
        <v>0.19821834084761045</v>
      </c>
      <c r="O66" s="63">
        <f t="shared" si="14"/>
        <v>0.27403984971445744</v>
      </c>
      <c r="P66" s="63">
        <f t="shared" si="15"/>
        <v>0.83220502554854214</v>
      </c>
      <c r="Q66" s="115" t="s">
        <v>137</v>
      </c>
      <c r="R66" s="83"/>
      <c r="S66" s="108">
        <f t="shared" si="16"/>
        <v>1201.6269660722812</v>
      </c>
      <c r="T66" s="109">
        <f t="shared" si="17"/>
        <v>3649.1043220246056</v>
      </c>
      <c r="U66" s="109">
        <f t="shared" si="18"/>
        <v>5044.9418339587273</v>
      </c>
      <c r="V66" s="115" t="s">
        <v>190</v>
      </c>
    </row>
    <row r="67" spans="1:22" ht="33.75" customHeight="1" thickBot="1">
      <c r="A67" s="90">
        <v>59</v>
      </c>
      <c r="B67" s="91" t="s">
        <v>69</v>
      </c>
      <c r="C67" s="270" t="s">
        <v>289</v>
      </c>
      <c r="D67" s="159" t="s">
        <v>46</v>
      </c>
      <c r="F67" s="68">
        <f>'59'!L$30</f>
        <v>0.11057226000000001</v>
      </c>
      <c r="G67" s="61">
        <f>'59'!L$29</f>
        <v>0.24700514200000001</v>
      </c>
      <c r="H67" s="61">
        <f>'59'!L$27</f>
        <v>0.383886968</v>
      </c>
      <c r="I67" s="116" t="str">
        <f>"pounds of TP reduced
per "&amp;'BMP info'!E66&amp;"
per year"</f>
        <v>pounds of TP reduced
per acre treated
per year</v>
      </c>
      <c r="J67" s="83"/>
      <c r="K67" s="105">
        <f>'59'!D$34</f>
        <v>459</v>
      </c>
      <c r="L67" s="116" t="str">
        <f>"per "&amp;'BMP info'!E66&amp;"
per year"</f>
        <v>per acre treated
per year</v>
      </c>
      <c r="M67" s="83"/>
      <c r="N67" s="64">
        <f>IF($K67=0,"-",1000*F67/$K67)</f>
        <v>0.24089816993464053</v>
      </c>
      <c r="O67" s="65">
        <f>IF($K67=0,"-",1000*G67/$K67)</f>
        <v>0.53813756427015247</v>
      </c>
      <c r="P67" s="65">
        <f>IF($K67=0,"-",1000*H67/$K67)</f>
        <v>0.83635505010893241</v>
      </c>
      <c r="Q67" s="116" t="s">
        <v>137</v>
      </c>
      <c r="R67" s="83"/>
      <c r="S67" s="113">
        <f>IF($K67*H67=0,"-",$K67/H67)</f>
        <v>1195.6644488124432</v>
      </c>
      <c r="T67" s="114">
        <f>IF($K67*G67=0,"-",$K67/G67)</f>
        <v>1858.2609102121444</v>
      </c>
      <c r="U67" s="114">
        <f>IF($K67*F67=0,"-",$K67/F67)</f>
        <v>4151.131576762562</v>
      </c>
      <c r="V67" s="116" t="s">
        <v>190</v>
      </c>
    </row>
    <row r="68" spans="1:22" ht="13.5" thickTop="1"/>
    <row r="69" spans="1:22">
      <c r="A69" s="1" t="s">
        <v>297</v>
      </c>
    </row>
  </sheetData>
  <mergeCells count="5">
    <mergeCell ref="S1:V1"/>
    <mergeCell ref="N1:Q1"/>
    <mergeCell ref="A1:D1"/>
    <mergeCell ref="F1:I1"/>
    <mergeCell ref="K1:L1"/>
  </mergeCells>
  <phoneticPr fontId="1" type="noConversion"/>
  <hyperlinks>
    <hyperlink ref="C38" location="'36a'!A1" display="Septic Connection ― Critical Area"/>
    <hyperlink ref="C39" location="'36b'!A1" display="Septic Connection ― 1,000 feet of stream"/>
    <hyperlink ref="C40" location="'36c'!A1" display="Septic Connection ― other"/>
    <hyperlink ref="C25" location="'23'!A1" display="Nutrient Management"/>
    <hyperlink ref="C15" location="'13'!A1" display="Enhanced Nutrient Management"/>
    <hyperlink ref="C13" location="'11'!A1" display="Decision Agriculture"/>
    <hyperlink ref="C41" location="'37a'!A1" display="Septic Denitrification ― Critical Area"/>
    <hyperlink ref="C42" location="'37b'!A1" display="Septic Denitrification ― 1,000 feet of stream"/>
    <hyperlink ref="C43" location="'37c'!A1" display="Septic Denitrification ― other"/>
    <hyperlink ref="C44" location="'38a'!A1" display="Septic Pumping ― Critical Area"/>
    <hyperlink ref="C45" location="'38b'!A1" display="Septic Pumping ― 1,000 feet of stream"/>
    <hyperlink ref="C46" location="'38c'!A1" display="Septic Pumping ― other"/>
    <hyperlink ref="C5" location="'3'!A1" display="Barnyard Runoff Control"/>
    <hyperlink ref="C6" location="'4'!A1" display="Irrigation Water Capture Reuse"/>
    <hyperlink ref="C7" location="'5'!A1" display="Alternative Crops"/>
    <hyperlink ref="C11" location="'9'!A1" display="Cover Crop Standard Drilled Wheat"/>
    <hyperlink ref="C8" location="'6'!A1" display="Heavy Use Poultry Area Concrete Pads"/>
    <hyperlink ref="C9" location="'7'!A1" display="Soil Conservation and Water Quality Plans"/>
    <hyperlink ref="C3" location="'1'!A1" display="Poultry Litter Treatment (alum, for example)"/>
    <hyperlink ref="C4" location="'2'!A1" display="Animal Waste Management System"/>
    <hyperlink ref="C12" location="'10'!A1" display="Cropland Irrigation Management"/>
    <hyperlink ref="C14" location="'12'!A1" display="Sorbing Materials in Ag Ditches"/>
    <hyperlink ref="C16" location="'14'!A1" display="Forest Buffers"/>
    <hyperlink ref="C17" location="'15'!A1" display="Grass Buffers; Vegetated Open Channel - Agriculture"/>
    <hyperlink ref="C18" location="'16'!A1" display="Horse Pasture Management"/>
    <hyperlink ref="C19" location="'17'!A1" display="Land Retirement to hay without nutrients (HEL)"/>
    <hyperlink ref="C20" location="'18'!A1" display="Land Retirement to pasture (HEL)"/>
    <hyperlink ref="C21" location="'19'!A1" display="Dairy Manure Injection"/>
    <hyperlink ref="C22" location="'20'!A1" display="Loafing Lot Management"/>
    <hyperlink ref="C23" location="'21'!A1" display="Mortality Composters"/>
    <hyperlink ref="C24" location="'22'!A1" display="Non Urban Stream Restoration; Shoreline Erosion Control"/>
    <hyperlink ref="C26" location="'24'!A1" display="Off Stream Watering Without Fencing"/>
    <hyperlink ref="C27" location="'25'!A1" display="Stream Access Control with Fencing"/>
    <hyperlink ref="C28" location="'26'!A1" display="Poultry Litter Injection"/>
    <hyperlink ref="C29" location="'27'!A1" display="Poultry Phytase "/>
    <hyperlink ref="C30" location="'28'!A1" display="Prescribed Grazing"/>
    <hyperlink ref="C32" location="'30'!A1" display="Precision Intensive Rotational Grazing"/>
    <hyperlink ref="C33" location="'31'!A1" display="Water Control Structures"/>
    <hyperlink ref="C34" location="'32'!A1" display="Wetland Restoration"/>
    <hyperlink ref="C31" location="'29'!A1" display="Tree Planting; Vegetative Environmental Buffers ― Poultry"/>
    <hyperlink ref="C10" location="'8'!A1" display="Conservation Tillage - Percent of Acres"/>
    <hyperlink ref="C36" location="'34'!A1" display="Forest Harvesting Practices"/>
    <hyperlink ref="C37" location="'35'!A1" display="Set Permitted Load"/>
    <hyperlink ref="C35" location="'33'!A1" display="Manure Transport"/>
    <hyperlink ref="C55" location="'47'!A1" display="Urban Forest Buffers"/>
    <hyperlink ref="C47" location="'39'!A1" display="Abandoned Mine Reclamation"/>
    <hyperlink ref="C51" location="'43'!A1" display="Erosion and Sediment Control"/>
    <hyperlink ref="C52" location="'44'!A1" display="Erosion and Sediment Control on Extractive, excess applied to all other pervious urban"/>
    <hyperlink ref="C56" location="'48'!A1" display="Forest Conservation"/>
    <hyperlink ref="C57" location="'49'!A1" display="Impervious Urban Surface Reduction"/>
    <hyperlink ref="C65" location="'57'!A1" display="Urban Stream Restoration; Shoreline Erosion Control; Regenerative Stormwater Conveyance"/>
    <hyperlink ref="C64" location="'56'!A1" display="Urban Tree Planting; Urban Tree Canopy"/>
    <hyperlink ref="C63" location="'55'!A1" display="Urban Nutrient Management"/>
    <hyperlink ref="C48" location="'40'!A1" display="Bioretention/raingardens"/>
    <hyperlink ref="C49" location="'41'!A1" display="Bioswale"/>
    <hyperlink ref="C50" location="'42'!A1" display="Dry Detention Ponds and Hydrodynamic Structures"/>
    <hyperlink ref="C53" location="'45'!A1" display="Dry Extended Detention Ponds"/>
    <hyperlink ref="C54" location="'46'!A1" display="Urban Filtering Practices"/>
    <hyperlink ref="C58" location="'50'!A1" display="Urban Infiltration Practices - no sand\veg no under drain"/>
    <hyperlink ref="C59" location="'51'!A1" display="Urban Infiltration Practices - with sandveg no under drain"/>
    <hyperlink ref="C60" location="'52'!A1" display="Permeable Pavement w/ Sand, Veg. - A/B soils, underdrain"/>
    <hyperlink ref="C61" location="'53'!A1" display="MS4 Permit-Required Stormwater Retrofit"/>
    <hyperlink ref="C66" location="'58'!A1" display="Vegetated Open Channel - Urban"/>
    <hyperlink ref="C67" location="'59'!A1" display="Wet Ponds and Wetlands"/>
    <hyperlink ref="C62" location="'54'!A1" display="Street Sweeping 25 times a year-acres (formerly called Street Sweeping Mechanical Monthly)"/>
  </hyperlinks>
  <pageMargins left="0.75" right="0.75" top="1" bottom="1" header="0.5" footer="0.5"/>
  <pageSetup paperSize="5" scale="29" orientation="landscape" r:id="rId1"/>
  <headerFooter alignWithMargins="0"/>
</worksheet>
</file>

<file path=xl/worksheets/sheet70.xml><?xml version="1.0" encoding="utf-8"?>
<worksheet xmlns="http://schemas.openxmlformats.org/spreadsheetml/2006/main" xmlns:r="http://schemas.openxmlformats.org/officeDocument/2006/relationships">
  <sheetPr codeName="Sheet21"/>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Urban Nutrient Management</v>
      </c>
      <c r="I1" s="22"/>
      <c r="J1" s="37" t="s">
        <v>135</v>
      </c>
      <c r="K1" s="50">
        <v>55</v>
      </c>
      <c r="L1" s="22"/>
      <c r="M1" s="22"/>
      <c r="N1" s="22"/>
      <c r="O1" s="22"/>
      <c r="P1" s="22"/>
      <c r="Q1" s="22"/>
      <c r="R1" s="22"/>
    </row>
    <row r="2" spans="1:19" s="20" customFormat="1" ht="12.75" customHeight="1">
      <c r="D2" s="48" t="s">
        <v>3</v>
      </c>
      <c r="E2" s="19" t="str">
        <f>VLOOKUP($K$1,'BMP info'!A:G,4,FALSE)</f>
        <v>UrbanNutMan</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efficiency applied</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43" t="s">
        <v>130</v>
      </c>
      <c r="K11" s="43" t="s">
        <v>128</v>
      </c>
      <c r="L11" s="43" t="s">
        <v>129</v>
      </c>
      <c r="M11" s="43" t="s">
        <v>130</v>
      </c>
    </row>
    <row r="12" spans="1:19" ht="5.25" customHeight="1" thickBot="1"/>
    <row r="13" spans="1:19" ht="12.75" customHeight="1">
      <c r="C13" s="24" t="s">
        <v>9</v>
      </c>
      <c r="D13" s="28">
        <f t="shared" ref="D13:F15" si="0">IF(D27*$D$34=0,"-",1000*D27/$D$34)</f>
        <v>19.415994162935874</v>
      </c>
      <c r="E13" s="29">
        <f t="shared" si="0"/>
        <v>0.86012895000251632</v>
      </c>
      <c r="F13" s="30" t="str">
        <f t="shared" si="0"/>
        <v>-</v>
      </c>
      <c r="G13" s="305" t="s">
        <v>254</v>
      </c>
      <c r="H13" s="300"/>
      <c r="J13" s="24" t="s">
        <v>9</v>
      </c>
      <c r="K13" s="28">
        <f t="shared" ref="K13:M16" si="1">IF(K27*$D$34=0,"-",1000*K27/$D$34)</f>
        <v>10.641594874306495</v>
      </c>
      <c r="L13" s="29">
        <f t="shared" si="1"/>
        <v>0.40941415208252396</v>
      </c>
      <c r="M13" s="30" t="str">
        <f t="shared" si="1"/>
        <v>-</v>
      </c>
      <c r="N13" s="305" t="s">
        <v>133</v>
      </c>
      <c r="O13" s="300"/>
    </row>
    <row r="14" spans="1:19">
      <c r="C14" s="24" t="s">
        <v>7</v>
      </c>
      <c r="D14" s="31">
        <f t="shared" si="0"/>
        <v>9.6922274785119082</v>
      </c>
      <c r="E14" s="32">
        <f t="shared" si="0"/>
        <v>0.42287432773553152</v>
      </c>
      <c r="F14" s="33" t="str">
        <f t="shared" si="0"/>
        <v>-</v>
      </c>
      <c r="G14" s="301"/>
      <c r="H14" s="300"/>
      <c r="J14" s="24" t="s">
        <v>7</v>
      </c>
      <c r="K14" s="31">
        <f t="shared" si="1"/>
        <v>6.3814759088127238</v>
      </c>
      <c r="L14" s="32">
        <f t="shared" si="1"/>
        <v>0.29996224101964308</v>
      </c>
      <c r="M14" s="33" t="str">
        <f t="shared" si="1"/>
        <v>-</v>
      </c>
      <c r="N14" s="301"/>
      <c r="O14" s="300"/>
    </row>
    <row r="15" spans="1:19">
      <c r="C15" s="24" t="s">
        <v>8</v>
      </c>
      <c r="D15" s="31">
        <f t="shared" si="0"/>
        <v>7.8464766198945535</v>
      </c>
      <c r="E15" s="32">
        <f t="shared" si="0"/>
        <v>0.37043660111815169</v>
      </c>
      <c r="F15" s="33" t="str">
        <f t="shared" si="0"/>
        <v>-</v>
      </c>
      <c r="G15" s="301"/>
      <c r="H15" s="300"/>
      <c r="J15" s="24" t="s">
        <v>8</v>
      </c>
      <c r="K15" s="31">
        <f t="shared" si="1"/>
        <v>6.1911076880703</v>
      </c>
      <c r="L15" s="32">
        <f t="shared" si="1"/>
        <v>0.32366245366199042</v>
      </c>
      <c r="M15" s="33" t="str">
        <f t="shared" si="1"/>
        <v>-</v>
      </c>
      <c r="N15" s="301"/>
      <c r="O15" s="300"/>
    </row>
    <row r="16" spans="1:19" ht="13.5" thickBot="1">
      <c r="C16" s="24" t="s">
        <v>6</v>
      </c>
      <c r="D16" s="34">
        <f>IF(E30*$D$34=0,"-",1000*E30/$D$34)</f>
        <v>0.23842275443612052</v>
      </c>
      <c r="E16" s="35">
        <f>IF(E30*$D$34=0,"-",1000*E30/$D$34)</f>
        <v>0.23842275443612052</v>
      </c>
      <c r="F16" s="36" t="str">
        <f>IF(F30*$D$34=0,"-",1000*F30/$D$34)</f>
        <v>-</v>
      </c>
      <c r="G16" s="301"/>
      <c r="H16" s="300"/>
      <c r="J16" s="24" t="s">
        <v>6</v>
      </c>
      <c r="K16" s="34">
        <f t="shared" si="1"/>
        <v>3.5290414760047044</v>
      </c>
      <c r="L16" s="35">
        <f t="shared" si="1"/>
        <v>0.15126553332279213</v>
      </c>
      <c r="M16" s="36" t="str">
        <f t="shared" si="1"/>
        <v>-</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51.503929781198025</v>
      </c>
      <c r="E20" s="29">
        <f t="shared" si="2"/>
        <v>1162.6163728090708</v>
      </c>
      <c r="F20" s="30" t="str">
        <f t="shared" si="2"/>
        <v>-</v>
      </c>
      <c r="G20" s="305" t="s">
        <v>253</v>
      </c>
      <c r="H20" s="300"/>
      <c r="J20" s="24" t="s">
        <v>9</v>
      </c>
      <c r="K20" s="28">
        <f t="shared" ref="K20:M23" si="3">IF(K27=0,"-",$D$34/K27)</f>
        <v>93.970876716462968</v>
      </c>
      <c r="L20" s="29">
        <f t="shared" si="3"/>
        <v>2442.5144927536212</v>
      </c>
      <c r="M20" s="30" t="str">
        <f t="shared" si="3"/>
        <v>-</v>
      </c>
      <c r="N20" s="305" t="s">
        <v>132</v>
      </c>
      <c r="O20" s="300"/>
    </row>
    <row r="21" spans="1:16">
      <c r="C21" s="24" t="s">
        <v>7</v>
      </c>
      <c r="D21" s="31">
        <f t="shared" si="2"/>
        <v>103.17545705742502</v>
      </c>
      <c r="E21" s="32">
        <f t="shared" si="2"/>
        <v>2364.7687608631727</v>
      </c>
      <c r="F21" s="33" t="str">
        <f t="shared" si="2"/>
        <v>-</v>
      </c>
      <c r="G21" s="301"/>
      <c r="H21" s="300"/>
      <c r="J21" s="24" t="s">
        <v>7</v>
      </c>
      <c r="K21" s="31">
        <f t="shared" si="3"/>
        <v>156.70356110237992</v>
      </c>
      <c r="L21" s="32">
        <f t="shared" si="3"/>
        <v>3333.7529303713759</v>
      </c>
      <c r="M21" s="33" t="str">
        <f t="shared" si="3"/>
        <v>-</v>
      </c>
      <c r="N21" s="301"/>
      <c r="O21" s="300"/>
    </row>
    <row r="22" spans="1:16">
      <c r="C22" s="24" t="s">
        <v>8</v>
      </c>
      <c r="D22" s="31">
        <f t="shared" si="2"/>
        <v>127.44573755110974</v>
      </c>
      <c r="E22" s="32">
        <f t="shared" si="2"/>
        <v>2699.5172641729519</v>
      </c>
      <c r="F22" s="33" t="str">
        <f t="shared" si="2"/>
        <v>-</v>
      </c>
      <c r="G22" s="301"/>
      <c r="H22" s="300"/>
      <c r="J22" s="24" t="s">
        <v>8</v>
      </c>
      <c r="K22" s="31">
        <f t="shared" si="3"/>
        <v>161.52198449510234</v>
      </c>
      <c r="L22" s="32">
        <f t="shared" si="3"/>
        <v>3089.6385684708657</v>
      </c>
      <c r="M22" s="33" t="str">
        <f t="shared" si="3"/>
        <v>-</v>
      </c>
      <c r="N22" s="301"/>
      <c r="O22" s="300"/>
    </row>
    <row r="23" spans="1:16" ht="13.5" thickBot="1">
      <c r="C23" s="24" t="s">
        <v>6</v>
      </c>
      <c r="D23" s="34">
        <f t="shared" si="2"/>
        <v>225.04291665563406</v>
      </c>
      <c r="E23" s="35">
        <f t="shared" si="2"/>
        <v>4194.2305480239938</v>
      </c>
      <c r="F23" s="36" t="str">
        <f t="shared" si="2"/>
        <v>-</v>
      </c>
      <c r="G23" s="301"/>
      <c r="H23" s="300"/>
      <c r="J23" s="24" t="s">
        <v>6</v>
      </c>
      <c r="K23" s="34">
        <f t="shared" si="3"/>
        <v>283.36306240642978</v>
      </c>
      <c r="L23" s="35">
        <f t="shared" si="3"/>
        <v>6610.8913116780959</v>
      </c>
      <c r="M23" s="36" t="str">
        <f t="shared" si="3"/>
        <v>-</v>
      </c>
      <c r="N23" s="301"/>
      <c r="O23" s="300"/>
    </row>
    <row r="24" spans="1:16" ht="13.5" thickBot="1"/>
    <row r="25" spans="1:16" s="42" customFormat="1">
      <c r="A25" s="86" t="s">
        <v>255</v>
      </c>
      <c r="D25" s="43" t="s">
        <v>128</v>
      </c>
      <c r="E25" s="43" t="s">
        <v>129</v>
      </c>
      <c r="F25" s="43" t="s">
        <v>130</v>
      </c>
      <c r="H25" s="86"/>
      <c r="K25" s="43" t="s">
        <v>128</v>
      </c>
      <c r="L25" s="43" t="s">
        <v>129</v>
      </c>
      <c r="M25" s="43" t="s">
        <v>130</v>
      </c>
    </row>
    <row r="26" spans="1:16" ht="5.25" customHeight="1" thickBot="1"/>
    <row r="27" spans="1:16" ht="12.75" customHeight="1">
      <c r="C27" s="24" t="s">
        <v>9</v>
      </c>
      <c r="D27" s="208">
        <v>2.8638591390330417</v>
      </c>
      <c r="E27" s="209">
        <v>0.12686902012537116</v>
      </c>
      <c r="F27" s="210">
        <v>0</v>
      </c>
      <c r="G27" s="305" t="str">
        <f>"EOS pounds removed per '"&amp;E3&amp;"' of practice per year"</f>
        <v>EOS pounds removed per 'acre' of practice per year</v>
      </c>
      <c r="H27" s="300"/>
      <c r="J27" s="24" t="s">
        <v>9</v>
      </c>
      <c r="K27" s="208">
        <v>1.5696352439602081</v>
      </c>
      <c r="L27" s="209">
        <v>6.0388587432172285E-2</v>
      </c>
      <c r="M27" s="210">
        <v>0</v>
      </c>
      <c r="N27" s="305" t="str">
        <f>"delivered pounds removed per '"&amp;E3&amp;"' of practice per year"</f>
        <v>delivered pounds removed per 'acre' of practice per year</v>
      </c>
      <c r="O27" s="300"/>
      <c r="P27" s="205"/>
    </row>
    <row r="28" spans="1:16">
      <c r="C28" s="24" t="s">
        <v>7</v>
      </c>
      <c r="D28" s="211">
        <v>1.4296035530805062</v>
      </c>
      <c r="E28" s="212">
        <v>6.23739633409909E-2</v>
      </c>
      <c r="F28" s="213">
        <v>0</v>
      </c>
      <c r="G28" s="301"/>
      <c r="H28" s="300"/>
      <c r="J28" s="24" t="s">
        <v>7</v>
      </c>
      <c r="K28" s="211">
        <v>0.94126769654987674</v>
      </c>
      <c r="L28" s="212">
        <v>4.4244430550397354E-2</v>
      </c>
      <c r="M28" s="213">
        <v>0</v>
      </c>
      <c r="N28" s="301"/>
      <c r="O28" s="300"/>
      <c r="P28" s="205"/>
    </row>
    <row r="29" spans="1:16">
      <c r="C29" s="24" t="s">
        <v>8</v>
      </c>
      <c r="D29" s="211">
        <v>1.1573553014344466</v>
      </c>
      <c r="E29" s="212">
        <v>5.4639398664927376E-2</v>
      </c>
      <c r="F29" s="213">
        <v>0</v>
      </c>
      <c r="G29" s="301"/>
      <c r="H29" s="300"/>
      <c r="J29" s="24" t="s">
        <v>8</v>
      </c>
      <c r="K29" s="211">
        <v>0.91318838399036928</v>
      </c>
      <c r="L29" s="212">
        <v>4.7740211915143591E-2</v>
      </c>
      <c r="M29" s="213">
        <v>0</v>
      </c>
      <c r="N29" s="301"/>
      <c r="O29" s="300"/>
      <c r="P29" s="205"/>
    </row>
    <row r="30" spans="1:16" ht="13.5" thickBot="1">
      <c r="C30" s="24" t="s">
        <v>6</v>
      </c>
      <c r="D30" s="214">
        <v>0.65543053828131792</v>
      </c>
      <c r="E30" s="215">
        <v>3.516735627932778E-2</v>
      </c>
      <c r="F30" s="216">
        <v>0</v>
      </c>
      <c r="G30" s="301"/>
      <c r="H30" s="300"/>
      <c r="J30" s="24" t="s">
        <v>6</v>
      </c>
      <c r="K30" s="214">
        <v>0.52053361771069384</v>
      </c>
      <c r="L30" s="215">
        <v>2.2311666165111838E-2</v>
      </c>
      <c r="M30" s="216">
        <v>0</v>
      </c>
      <c r="N30" s="301"/>
      <c r="O30" s="300"/>
      <c r="P30" s="205"/>
    </row>
    <row r="31" spans="1:16" ht="13.5" thickBot="1"/>
    <row r="32" spans="1:16" s="42" customFormat="1">
      <c r="A32" s="86" t="s">
        <v>1</v>
      </c>
    </row>
    <row r="33" spans="1:12" ht="5.25" customHeight="1" thickBot="1"/>
    <row r="34" spans="1:12" ht="13.5" thickBot="1">
      <c r="C34" s="24" t="s">
        <v>11</v>
      </c>
      <c r="D34" s="46">
        <f>-PMT(D39,D38,D36)+D37</f>
        <v>147.5</v>
      </c>
      <c r="E34" s="18" t="str">
        <f>"$ per '"&amp;E3&amp;"' of practice per year"</f>
        <v>$ per 'acre' of practice per year</v>
      </c>
      <c r="I34" s="82" t="s">
        <v>169</v>
      </c>
      <c r="J34" s="217" t="s">
        <v>160</v>
      </c>
      <c r="K34" s="218" t="s">
        <v>233</v>
      </c>
      <c r="L34" s="219" t="s">
        <v>165</v>
      </c>
    </row>
    <row r="35" spans="1:12" ht="5.25" customHeight="1" thickBot="1">
      <c r="C35" s="24"/>
      <c r="D35" s="47"/>
      <c r="E35" s="18"/>
      <c r="I35" s="78"/>
      <c r="J35" s="220"/>
      <c r="K35" s="220"/>
      <c r="L35" s="221"/>
    </row>
    <row r="36" spans="1:12">
      <c r="C36" s="24" t="s">
        <v>10</v>
      </c>
      <c r="D36" s="38">
        <f>L36</f>
        <v>146</v>
      </c>
      <c r="E36" s="18" t="str">
        <f>"$ per '"&amp;E3&amp;"' of practice"</f>
        <v>$ per 'acre' of practice</v>
      </c>
      <c r="I36" s="78" t="s">
        <v>162</v>
      </c>
      <c r="J36" s="236">
        <v>52.5</v>
      </c>
      <c r="K36" s="236">
        <v>274.5</v>
      </c>
      <c r="L36" s="241">
        <f>(K36+J36/J38)/2</f>
        <v>146</v>
      </c>
    </row>
    <row r="37" spans="1:12">
      <c r="C37" s="24" t="s">
        <v>12</v>
      </c>
      <c r="D37" s="39">
        <f>L37</f>
        <v>1.5</v>
      </c>
      <c r="E37" s="18" t="str">
        <f>"$ per '"&amp;E3&amp;"' of practice per year"</f>
        <v>$ per 'acre' of practice per year</v>
      </c>
      <c r="I37" s="78" t="s">
        <v>161</v>
      </c>
      <c r="J37" s="236">
        <v>0</v>
      </c>
      <c r="K37" s="236">
        <v>3</v>
      </c>
      <c r="L37" s="241">
        <f>AVERAGE(J37:K37)</f>
        <v>1.5</v>
      </c>
    </row>
    <row r="38" spans="1:12">
      <c r="C38" s="24" t="s">
        <v>13</v>
      </c>
      <c r="D38" s="40">
        <f>L38</f>
        <v>1</v>
      </c>
      <c r="E38" s="18" t="s">
        <v>15</v>
      </c>
      <c r="I38" s="78" t="s">
        <v>163</v>
      </c>
      <c r="J38" s="245">
        <v>3</v>
      </c>
      <c r="K38" s="245">
        <v>1</v>
      </c>
      <c r="L38" s="247">
        <v>1</v>
      </c>
    </row>
    <row r="39" spans="1:12" ht="13.5" thickBot="1">
      <c r="C39" s="24" t="s">
        <v>14</v>
      </c>
      <c r="D39" s="41">
        <f>Summary!C35</f>
        <v>0</v>
      </c>
      <c r="E39" s="18" t="s">
        <v>16</v>
      </c>
      <c r="I39" s="80" t="s">
        <v>166</v>
      </c>
      <c r="J39" s="239">
        <f>J37+(J36/J38)</f>
        <v>17.5</v>
      </c>
      <c r="K39" s="239">
        <f>K37+(K36/K38)</f>
        <v>277.5</v>
      </c>
      <c r="L39" s="242">
        <f>L37+(L36/L38)</f>
        <v>147.5</v>
      </c>
    </row>
    <row r="40" spans="1:12">
      <c r="F40" s="234"/>
    </row>
    <row r="41" spans="1:12">
      <c r="I41" s="304" t="s">
        <v>232</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71.xml><?xml version="1.0" encoding="utf-8"?>
<worksheet xmlns="http://schemas.openxmlformats.org/spreadsheetml/2006/main" xmlns:r="http://schemas.openxmlformats.org/officeDocument/2006/relationships">
  <sheetPr codeName="Sheet18"/>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1" style="17" bestFit="1" customWidth="1"/>
    <col min="13" max="16384" width="9.140625" style="17"/>
  </cols>
  <sheetData>
    <row r="1" spans="1:19" s="20" customFormat="1" ht="21" customHeight="1">
      <c r="A1" s="302" t="s">
        <v>136</v>
      </c>
      <c r="B1" s="303"/>
      <c r="D1" s="25" t="s">
        <v>134</v>
      </c>
      <c r="E1" s="89" t="str">
        <f>VLOOKUP($K$1,'BMP info'!A:G,3,FALSE)</f>
        <v>Urban Tree Planting; Urban Tree Canopy</v>
      </c>
      <c r="I1" s="22"/>
      <c r="J1" s="37" t="s">
        <v>135</v>
      </c>
      <c r="K1" s="50">
        <v>56</v>
      </c>
      <c r="L1" s="22"/>
      <c r="M1" s="22"/>
      <c r="N1" s="22"/>
      <c r="O1" s="22"/>
      <c r="P1" s="22"/>
      <c r="Q1" s="22"/>
      <c r="R1" s="22"/>
    </row>
    <row r="2" spans="1:19" s="20" customFormat="1" ht="12.75" customHeight="1">
      <c r="D2" s="48" t="s">
        <v>3</v>
      </c>
      <c r="E2" s="19" t="str">
        <f>VLOOKUP($K$1,'BMP info'!A:G,4,FALSE)</f>
        <v>UrbanTreePlant</v>
      </c>
      <c r="I2" s="23"/>
      <c r="L2" s="23"/>
      <c r="M2" s="23"/>
      <c r="N2" s="23"/>
      <c r="O2" s="23"/>
      <c r="P2" s="23"/>
      <c r="Q2" s="23"/>
      <c r="R2" s="23"/>
      <c r="S2" s="23"/>
    </row>
    <row r="3" spans="1:19" s="20" customFormat="1" ht="12.75" customHeight="1">
      <c r="D3" s="48" t="s">
        <v>79</v>
      </c>
      <c r="E3" s="19" t="str">
        <f>VLOOKUP($K$1,'BMP info'!A:G,5,FALSE)</f>
        <v>acre</v>
      </c>
      <c r="I3" s="23"/>
      <c r="K3" s="49"/>
      <c r="L3" s="23"/>
      <c r="M3" s="23"/>
      <c r="N3" s="23"/>
      <c r="O3" s="23"/>
      <c r="P3" s="23"/>
      <c r="Q3" s="23"/>
      <c r="R3" s="23"/>
      <c r="S3" s="23"/>
    </row>
    <row r="4" spans="1:19" s="20" customFormat="1" ht="12.75" customHeight="1">
      <c r="D4" s="48" t="s">
        <v>170</v>
      </c>
      <c r="E4" s="19" t="str">
        <f>VLOOKUP($K$1,'BMP info'!A:G,6,FALSE)</f>
        <v>landuse change</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43" t="s">
        <v>130</v>
      </c>
      <c r="K11" s="43" t="s">
        <v>128</v>
      </c>
      <c r="L11" s="43" t="s">
        <v>129</v>
      </c>
      <c r="M11" s="43" t="s">
        <v>130</v>
      </c>
    </row>
    <row r="12" spans="1:19" ht="5.25" customHeight="1" thickBot="1"/>
    <row r="13" spans="1:19" ht="12.75" customHeight="1">
      <c r="C13" s="24" t="s">
        <v>9</v>
      </c>
      <c r="D13" s="28">
        <f t="shared" ref="D13:F15" si="0">IF(D27*$D$34=0,"-",1000*D27/$D$34)</f>
        <v>5.6431146212215451</v>
      </c>
      <c r="E13" s="29">
        <f t="shared" si="0"/>
        <v>0.24091415101380767</v>
      </c>
      <c r="F13" s="30">
        <f t="shared" si="0"/>
        <v>93.959759124269183</v>
      </c>
      <c r="G13" s="305" t="s">
        <v>254</v>
      </c>
      <c r="H13" s="300"/>
      <c r="J13" s="24" t="s">
        <v>9</v>
      </c>
      <c r="K13" s="28">
        <f t="shared" ref="K13:M16" si="1">IF(K27*$D$34=0,"-",1000*K27/$D$34)</f>
        <v>4.3575421301156867</v>
      </c>
      <c r="L13" s="29">
        <f t="shared" si="1"/>
        <v>0.17067282945640005</v>
      </c>
      <c r="M13" s="30">
        <f t="shared" si="1"/>
        <v>61.945401119542232</v>
      </c>
      <c r="N13" s="305" t="s">
        <v>133</v>
      </c>
      <c r="O13" s="300"/>
    </row>
    <row r="14" spans="1:19">
      <c r="C14" s="24" t="s">
        <v>7</v>
      </c>
      <c r="D14" s="31">
        <f t="shared" si="0"/>
        <v>3.7227434616245798</v>
      </c>
      <c r="E14" s="32">
        <f t="shared" si="0"/>
        <v>0.14444412190570965</v>
      </c>
      <c r="F14" s="33">
        <f t="shared" si="0"/>
        <v>23.610542639631792</v>
      </c>
      <c r="G14" s="301"/>
      <c r="H14" s="300"/>
      <c r="J14" s="24" t="s">
        <v>7</v>
      </c>
      <c r="K14" s="31">
        <f t="shared" si="1"/>
        <v>2.4380973320064681</v>
      </c>
      <c r="L14" s="32">
        <f t="shared" si="1"/>
        <v>0.10291752755317826</v>
      </c>
      <c r="M14" s="33">
        <f t="shared" si="1"/>
        <v>21.210609264833934</v>
      </c>
      <c r="N14" s="301"/>
      <c r="O14" s="300"/>
    </row>
    <row r="15" spans="1:19">
      <c r="C15" s="24" t="s">
        <v>8</v>
      </c>
      <c r="D15" s="31">
        <f t="shared" si="0"/>
        <v>3.2070729429033462</v>
      </c>
      <c r="E15" s="32">
        <f t="shared" si="0"/>
        <v>0.15373446995895013</v>
      </c>
      <c r="F15" s="33">
        <f t="shared" si="0"/>
        <v>13.738973230501307</v>
      </c>
      <c r="G15" s="301"/>
      <c r="H15" s="300"/>
      <c r="J15" s="24" t="s">
        <v>8</v>
      </c>
      <c r="K15" s="31">
        <f t="shared" si="1"/>
        <v>2.3450844488120413</v>
      </c>
      <c r="L15" s="32">
        <f t="shared" si="1"/>
        <v>9.6427724841398194E-2</v>
      </c>
      <c r="M15" s="33">
        <f t="shared" si="1"/>
        <v>15.262603492971763</v>
      </c>
      <c r="N15" s="301"/>
      <c r="O15" s="300"/>
    </row>
    <row r="16" spans="1:19" ht="13.5" thickBot="1">
      <c r="C16" s="24" t="s">
        <v>6</v>
      </c>
      <c r="D16" s="34">
        <f>IF(E30*$D$34=0,"-",1000*E30/$D$34)</f>
        <v>3.9255508894141054E-2</v>
      </c>
      <c r="E16" s="35">
        <f>IF(E30*$D$34=0,"-",1000*E30/$D$34)</f>
        <v>3.9255508894141054E-2</v>
      </c>
      <c r="F16" s="36">
        <f>IF(F30*$D$34=0,"-",1000*F30/$D$34)</f>
        <v>-14.188760686652568</v>
      </c>
      <c r="G16" s="301"/>
      <c r="H16" s="300"/>
      <c r="J16" s="24" t="s">
        <v>6</v>
      </c>
      <c r="K16" s="34">
        <f t="shared" si="1"/>
        <v>1.0354738106729693</v>
      </c>
      <c r="L16" s="35">
        <f t="shared" si="1"/>
        <v>1.6937153874860056E-2</v>
      </c>
      <c r="M16" s="36">
        <f t="shared" si="1"/>
        <v>-10.748949108098023</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177.20710407677907</v>
      </c>
      <c r="E20" s="29">
        <f t="shared" si="2"/>
        <v>4150.8562107781136</v>
      </c>
      <c r="F20" s="30">
        <f t="shared" si="2"/>
        <v>10.642854018787141</v>
      </c>
      <c r="G20" s="305" t="s">
        <v>253</v>
      </c>
      <c r="H20" s="300"/>
      <c r="J20" s="24" t="s">
        <v>9</v>
      </c>
      <c r="K20" s="28">
        <f t="shared" ref="K20:M23" si="3">IF(K27=0,"-",$D$34/K27)</f>
        <v>229.48716733886206</v>
      </c>
      <c r="L20" s="29">
        <f t="shared" si="3"/>
        <v>5859.1634250456909</v>
      </c>
      <c r="M20" s="30">
        <f t="shared" si="3"/>
        <v>16.143248440190096</v>
      </c>
      <c r="N20" s="305" t="s">
        <v>132</v>
      </c>
      <c r="O20" s="300"/>
    </row>
    <row r="21" spans="1:16">
      <c r="C21" s="24" t="s">
        <v>7</v>
      </c>
      <c r="D21" s="31">
        <f t="shared" si="2"/>
        <v>268.6191004855346</v>
      </c>
      <c r="E21" s="32">
        <f t="shared" si="2"/>
        <v>6923.0923820685539</v>
      </c>
      <c r="F21" s="33">
        <f t="shared" si="2"/>
        <v>42.353960909032075</v>
      </c>
      <c r="G21" s="301"/>
      <c r="H21" s="300"/>
      <c r="J21" s="24" t="s">
        <v>7</v>
      </c>
      <c r="K21" s="31">
        <f t="shared" si="3"/>
        <v>410.15589774549125</v>
      </c>
      <c r="L21" s="32">
        <f t="shared" si="3"/>
        <v>9716.517912687832</v>
      </c>
      <c r="M21" s="33">
        <f t="shared" si="3"/>
        <v>47.146217608088563</v>
      </c>
      <c r="N21" s="301"/>
      <c r="O21" s="300"/>
    </row>
    <row r="22" spans="1:16">
      <c r="C22" s="24" t="s">
        <v>8</v>
      </c>
      <c r="D22" s="31">
        <f t="shared" si="2"/>
        <v>311.81080624087872</v>
      </c>
      <c r="E22" s="32">
        <f t="shared" si="2"/>
        <v>6504.7220722003203</v>
      </c>
      <c r="F22" s="33">
        <f t="shared" si="2"/>
        <v>72.785642946005808</v>
      </c>
      <c r="G22" s="301"/>
      <c r="H22" s="300"/>
      <c r="J22" s="24" t="s">
        <v>8</v>
      </c>
      <c r="K22" s="31">
        <f t="shared" si="3"/>
        <v>426.42387591055575</v>
      </c>
      <c r="L22" s="32">
        <f t="shared" si="3"/>
        <v>10370.461417033057</v>
      </c>
      <c r="M22" s="33">
        <f t="shared" si="3"/>
        <v>65.519621240274461</v>
      </c>
      <c r="N22" s="301"/>
      <c r="O22" s="300"/>
    </row>
    <row r="23" spans="1:16" ht="13.5" thickBot="1">
      <c r="C23" s="24" t="s">
        <v>6</v>
      </c>
      <c r="D23" s="34">
        <f t="shared" si="2"/>
        <v>426.43616927316464</v>
      </c>
      <c r="E23" s="35">
        <f t="shared" si="2"/>
        <v>25474.131610334349</v>
      </c>
      <c r="F23" s="36">
        <f t="shared" si="2"/>
        <v>-70.478318866897553</v>
      </c>
      <c r="G23" s="301"/>
      <c r="H23" s="300"/>
      <c r="J23" s="24" t="s">
        <v>6</v>
      </c>
      <c r="K23" s="34">
        <f t="shared" si="3"/>
        <v>965.74146993643967</v>
      </c>
      <c r="L23" s="35">
        <f t="shared" si="3"/>
        <v>59041.796950567201</v>
      </c>
      <c r="M23" s="36">
        <f t="shared" si="3"/>
        <v>-93.032350413364782</v>
      </c>
      <c r="N23" s="301"/>
      <c r="O23" s="300"/>
    </row>
    <row r="24" spans="1:16" ht="13.5" thickBot="1"/>
    <row r="25" spans="1:16" s="42" customFormat="1">
      <c r="A25" s="86" t="s">
        <v>255</v>
      </c>
      <c r="D25" s="43" t="s">
        <v>128</v>
      </c>
      <c r="E25" s="43" t="s">
        <v>129</v>
      </c>
      <c r="F25" s="43" t="s">
        <v>130</v>
      </c>
      <c r="H25" s="86"/>
      <c r="K25" s="43" t="s">
        <v>128</v>
      </c>
      <c r="L25" s="43" t="s">
        <v>129</v>
      </c>
      <c r="M25" s="43" t="s">
        <v>130</v>
      </c>
    </row>
    <row r="26" spans="1:16" ht="5.25" customHeight="1" thickBot="1"/>
    <row r="27" spans="1:16" ht="12.75" customHeight="1">
      <c r="C27" s="24" t="s">
        <v>9</v>
      </c>
      <c r="D27" s="208">
        <v>11.34124961</v>
      </c>
      <c r="E27" s="209">
        <v>0.48417721499999999</v>
      </c>
      <c r="F27" s="210">
        <v>188.8356259</v>
      </c>
      <c r="G27" s="305" t="str">
        <f>"EOS pounds removed per '"&amp;E3&amp;"' of practice per year"</f>
        <v>EOS pounds removed per 'acre' of practice per year</v>
      </c>
      <c r="H27" s="300"/>
      <c r="J27" s="24" t="s">
        <v>9</v>
      </c>
      <c r="K27" s="208">
        <v>8.7575702960000008</v>
      </c>
      <c r="L27" s="209">
        <v>0.34300971899999999</v>
      </c>
      <c r="M27" s="210">
        <v>124.49476989999999</v>
      </c>
      <c r="N27" s="305" t="str">
        <f>"delivered pounds removed per '"&amp;E3&amp;"' of practice per year"</f>
        <v>delivered pounds removed per 'acre' of practice per year</v>
      </c>
      <c r="O27" s="300"/>
      <c r="P27" s="205"/>
    </row>
    <row r="28" spans="1:16">
      <c r="C28" s="24" t="s">
        <v>7</v>
      </c>
      <c r="D28" s="211">
        <v>7.4817836719999997</v>
      </c>
      <c r="E28" s="212">
        <v>0.29029657399999997</v>
      </c>
      <c r="F28" s="213">
        <v>47.451288069999997</v>
      </c>
      <c r="G28" s="301"/>
      <c r="H28" s="300"/>
      <c r="J28" s="24" t="s">
        <v>7</v>
      </c>
      <c r="K28" s="211">
        <v>4.8999661129999996</v>
      </c>
      <c r="L28" s="212">
        <v>0.20683850100000001</v>
      </c>
      <c r="M28" s="213">
        <v>42.628021969999999</v>
      </c>
      <c r="N28" s="301"/>
      <c r="O28" s="300"/>
      <c r="P28" s="205"/>
    </row>
    <row r="29" spans="1:16">
      <c r="C29" s="24" t="s">
        <v>8</v>
      </c>
      <c r="D29" s="211">
        <v>6.4454148470000003</v>
      </c>
      <c r="E29" s="212">
        <v>0.30896785100000002</v>
      </c>
      <c r="F29" s="213">
        <v>27.611901450000001</v>
      </c>
      <c r="G29" s="301"/>
      <c r="H29" s="300"/>
      <c r="J29" s="24" t="s">
        <v>8</v>
      </c>
      <c r="K29" s="211">
        <v>4.7130334710000001</v>
      </c>
      <c r="L29" s="212">
        <v>0.19379562</v>
      </c>
      <c r="M29" s="213">
        <v>30.674017370000001</v>
      </c>
      <c r="N29" s="301"/>
      <c r="O29" s="300"/>
      <c r="P29" s="205"/>
    </row>
    <row r="30" spans="1:16" ht="13.5" thickBot="1">
      <c r="C30" s="24" t="s">
        <v>6</v>
      </c>
      <c r="D30" s="214">
        <v>4.712897603</v>
      </c>
      <c r="E30" s="215">
        <v>7.8893758999999994E-2</v>
      </c>
      <c r="F30" s="216">
        <v>-28.515861789999999</v>
      </c>
      <c r="G30" s="301"/>
      <c r="H30" s="300"/>
      <c r="J30" s="24" t="s">
        <v>6</v>
      </c>
      <c r="K30" s="214">
        <v>2.081043491</v>
      </c>
      <c r="L30" s="215">
        <v>3.4039445000000002E-2</v>
      </c>
      <c r="M30" s="216">
        <v>-21.602700469999998</v>
      </c>
      <c r="N30" s="301"/>
      <c r="O30" s="300"/>
      <c r="P30" s="205"/>
    </row>
    <row r="31" spans="1:16" ht="13.5" thickBot="1"/>
    <row r="32" spans="1:16" s="42" customFormat="1">
      <c r="A32" s="86" t="s">
        <v>1</v>
      </c>
    </row>
    <row r="33" spans="1:12" ht="5.25" customHeight="1" thickBot="1"/>
    <row r="34" spans="1:12" ht="13.5" thickBot="1">
      <c r="C34" s="24" t="s">
        <v>11</v>
      </c>
      <c r="D34" s="46">
        <f>-PMT(D39,D38,D36)+D37</f>
        <v>2009.75</v>
      </c>
      <c r="E34" s="18" t="str">
        <f>"$ per '"&amp;E3&amp;"' of practice per year"</f>
        <v>$ per 'acre' of practice per year</v>
      </c>
      <c r="I34" s="82" t="s">
        <v>169</v>
      </c>
      <c r="J34" s="217" t="s">
        <v>160</v>
      </c>
      <c r="K34" s="218" t="s">
        <v>233</v>
      </c>
      <c r="L34" s="219" t="s">
        <v>165</v>
      </c>
    </row>
    <row r="35" spans="1:12" ht="5.25" customHeight="1" thickBot="1">
      <c r="C35" s="24"/>
      <c r="D35" s="47"/>
      <c r="E35" s="18"/>
      <c r="I35" s="78"/>
      <c r="J35" s="220"/>
      <c r="K35" s="220"/>
      <c r="L35" s="221"/>
    </row>
    <row r="36" spans="1:12">
      <c r="C36" s="24" t="s">
        <v>10</v>
      </c>
      <c r="D36" s="38">
        <f>L36</f>
        <v>35615</v>
      </c>
      <c r="E36" s="18" t="str">
        <f>"$ per '"&amp;E3&amp;"' of practice"</f>
        <v>$ per 'acre' of practice</v>
      </c>
      <c r="I36" s="78" t="s">
        <v>162</v>
      </c>
      <c r="J36" s="236">
        <v>1649</v>
      </c>
      <c r="K36" s="236">
        <v>69581</v>
      </c>
      <c r="L36" s="241">
        <f>AVERAGE(J36:K36)</f>
        <v>35615</v>
      </c>
    </row>
    <row r="37" spans="1:12">
      <c r="C37" s="24" t="s">
        <v>12</v>
      </c>
      <c r="D37" s="39">
        <f>L37</f>
        <v>229</v>
      </c>
      <c r="E37" s="18" t="str">
        <f>"$ per '"&amp;E3&amp;"' of practice per year"</f>
        <v>$ per 'acre' of practice per year</v>
      </c>
      <c r="I37" s="78" t="s">
        <v>161</v>
      </c>
      <c r="J37" s="236">
        <v>0</v>
      </c>
      <c r="K37" s="236">
        <v>458</v>
      </c>
      <c r="L37" s="241">
        <f>AVERAGE(J37:K37)</f>
        <v>229</v>
      </c>
    </row>
    <row r="38" spans="1:12">
      <c r="C38" s="24" t="s">
        <v>13</v>
      </c>
      <c r="D38" s="40">
        <f>L38</f>
        <v>20</v>
      </c>
      <c r="E38" s="18" t="s">
        <v>15</v>
      </c>
      <c r="I38" s="78" t="s">
        <v>163</v>
      </c>
      <c r="J38" s="245">
        <v>20</v>
      </c>
      <c r="K38" s="245">
        <v>20</v>
      </c>
      <c r="L38" s="247">
        <v>20</v>
      </c>
    </row>
    <row r="39" spans="1:12" ht="13.5" thickBot="1">
      <c r="C39" s="24" t="s">
        <v>14</v>
      </c>
      <c r="D39" s="41">
        <f>Summary!C35</f>
        <v>0</v>
      </c>
      <c r="E39" s="18" t="s">
        <v>16</v>
      </c>
      <c r="I39" s="80" t="s">
        <v>166</v>
      </c>
      <c r="J39" s="239">
        <f>J37+(J36/J38)</f>
        <v>82.45</v>
      </c>
      <c r="K39" s="239">
        <f>K37+(K36/K38)</f>
        <v>3937.05</v>
      </c>
      <c r="L39" s="242">
        <f>L37+(L36/L38)</f>
        <v>2009.75</v>
      </c>
    </row>
    <row r="40" spans="1:12">
      <c r="F40" s="234"/>
    </row>
    <row r="41" spans="1:12">
      <c r="I41" s="304" t="s">
        <v>270</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72.xml><?xml version="1.0" encoding="utf-8"?>
<worksheet xmlns="http://schemas.openxmlformats.org/spreadsheetml/2006/main" xmlns:r="http://schemas.openxmlformats.org/officeDocument/2006/relationships">
  <sheetPr codeName="Sheet19"/>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6384" width="9.140625" style="17"/>
  </cols>
  <sheetData>
    <row r="1" spans="1:19" s="20" customFormat="1" ht="21" customHeight="1">
      <c r="A1" s="302" t="s">
        <v>136</v>
      </c>
      <c r="B1" s="303"/>
      <c r="D1" s="25" t="s">
        <v>134</v>
      </c>
      <c r="E1" s="89" t="str">
        <f>VLOOKUP($K$1,'BMP info'!A:G,3,FALSE)</f>
        <v>Urban Stream Restoration; Shoreline Erosion Control; Regenerative Stormwater Conveyance</v>
      </c>
      <c r="I1" s="22"/>
      <c r="J1" s="37" t="s">
        <v>135</v>
      </c>
      <c r="K1" s="50">
        <v>57</v>
      </c>
      <c r="L1" s="22"/>
      <c r="M1" s="22"/>
      <c r="N1" s="22"/>
      <c r="O1" s="22"/>
      <c r="P1" s="22"/>
      <c r="Q1" s="22"/>
      <c r="R1" s="22"/>
    </row>
    <row r="2" spans="1:19" s="20" customFormat="1" ht="12.75" customHeight="1">
      <c r="D2" s="48" t="s">
        <v>3</v>
      </c>
      <c r="E2" s="19" t="str">
        <f>VLOOKUP($K$1,'BMP info'!A:G,4,FALSE)</f>
        <v>UrbStrmRest</v>
      </c>
      <c r="I2" s="23"/>
      <c r="L2" s="23"/>
      <c r="M2" s="23"/>
      <c r="N2" s="23"/>
      <c r="O2" s="23"/>
      <c r="P2" s="23"/>
      <c r="Q2" s="23"/>
      <c r="R2" s="23"/>
      <c r="S2" s="23"/>
    </row>
    <row r="3" spans="1:19" s="20" customFormat="1" ht="12.75" customHeight="1">
      <c r="D3" s="48" t="s">
        <v>79</v>
      </c>
      <c r="E3" s="19" t="str">
        <f>VLOOKUP($K$1,'BMP info'!A:G,5,FALSE)</f>
        <v>foot</v>
      </c>
      <c r="I3" s="23"/>
      <c r="K3" s="49"/>
      <c r="L3" s="23"/>
      <c r="M3" s="23"/>
      <c r="N3" s="23"/>
      <c r="O3" s="23"/>
      <c r="P3" s="23"/>
      <c r="Q3" s="23"/>
      <c r="R3" s="23"/>
      <c r="S3" s="23"/>
    </row>
    <row r="4" spans="1:19" s="20" customFormat="1" ht="12.75" customHeight="1">
      <c r="D4" s="48" t="s">
        <v>170</v>
      </c>
      <c r="E4" s="19" t="str">
        <f>VLOOKUP($K$1,'BMP info'!A:G,6,FALSE)</f>
        <v>load reduction</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43" t="s">
        <v>130</v>
      </c>
      <c r="K11" s="43" t="s">
        <v>128</v>
      </c>
      <c r="L11" s="43" t="s">
        <v>129</v>
      </c>
      <c r="M11" s="43" t="s">
        <v>130</v>
      </c>
    </row>
    <row r="12" spans="1:19" ht="5.25" customHeight="1" thickBot="1"/>
    <row r="13" spans="1:19" ht="12.75" customHeight="1">
      <c r="C13" s="24" t="s">
        <v>9</v>
      </c>
      <c r="D13" s="28">
        <f t="shared" ref="D13:F15" si="0">IF(D27*$D$34=0,"-",1000*D27/$D$34)</f>
        <v>0.48775750493884285</v>
      </c>
      <c r="E13" s="29">
        <f t="shared" si="0"/>
        <v>6.0986923713931579E-2</v>
      </c>
      <c r="F13" s="30">
        <f t="shared" si="0"/>
        <v>48.774566267971807</v>
      </c>
      <c r="G13" s="305" t="s">
        <v>254</v>
      </c>
      <c r="H13" s="300"/>
      <c r="J13" s="24" t="s">
        <v>9</v>
      </c>
      <c r="K13" s="28">
        <f t="shared" ref="K13:M16" si="1">IF(K27*$D$34=0,"-",1000*K27/$D$34)</f>
        <v>0.48774629475079556</v>
      </c>
      <c r="L13" s="29">
        <f t="shared" si="1"/>
        <v>6.0975761057337256E-2</v>
      </c>
      <c r="M13" s="30">
        <f t="shared" si="1"/>
        <v>76.784934370391142</v>
      </c>
      <c r="N13" s="305" t="s">
        <v>133</v>
      </c>
      <c r="O13" s="300"/>
    </row>
    <row r="14" spans="1:19">
      <c r="C14" s="24" t="s">
        <v>7</v>
      </c>
      <c r="D14" s="31">
        <f t="shared" si="0"/>
        <v>0.48774479576506086</v>
      </c>
      <c r="E14" s="32">
        <f t="shared" si="0"/>
        <v>5.9062790393860101E-2</v>
      </c>
      <c r="F14" s="33">
        <f t="shared" si="0"/>
        <v>48.314358843487788</v>
      </c>
      <c r="G14" s="301"/>
      <c r="H14" s="300"/>
      <c r="J14" s="24" t="s">
        <v>7</v>
      </c>
      <c r="K14" s="31">
        <f t="shared" si="1"/>
        <v>0.37528657030440626</v>
      </c>
      <c r="L14" s="32">
        <f t="shared" si="1"/>
        <v>4.4675602570337966E-2</v>
      </c>
      <c r="M14" s="33">
        <f t="shared" si="1"/>
        <v>55.898461825115916</v>
      </c>
      <c r="N14" s="301"/>
      <c r="O14" s="300"/>
    </row>
    <row r="15" spans="1:19">
      <c r="C15" s="24" t="s">
        <v>8</v>
      </c>
      <c r="D15" s="31">
        <f t="shared" si="0"/>
        <v>0.48774614262432481</v>
      </c>
      <c r="E15" s="32">
        <f t="shared" si="0"/>
        <v>6.0968231226371322E-2</v>
      </c>
      <c r="F15" s="33">
        <f t="shared" si="0"/>
        <v>48.774535029522298</v>
      </c>
      <c r="G15" s="301"/>
      <c r="H15" s="300"/>
      <c r="J15" s="24" t="s">
        <v>8</v>
      </c>
      <c r="K15" s="31">
        <f t="shared" si="1"/>
        <v>0.39123688724538974</v>
      </c>
      <c r="L15" s="32">
        <f t="shared" si="1"/>
        <v>4.7051151498506659E-2</v>
      </c>
      <c r="M15" s="33">
        <f t="shared" si="1"/>
        <v>48.774539690281678</v>
      </c>
      <c r="N15" s="301"/>
      <c r="O15" s="300"/>
    </row>
    <row r="16" spans="1:19" ht="13.5" thickBot="1">
      <c r="C16" s="24" t="s">
        <v>6</v>
      </c>
      <c r="D16" s="34">
        <f>IF(E30*$D$34=0,"-",1000*E30/$D$34)</f>
        <v>5.2174265582653402E-2</v>
      </c>
      <c r="E16" s="35">
        <f>IF(E30*$D$34=0,"-",1000*E30/$D$34)</f>
        <v>5.2174265582653402E-2</v>
      </c>
      <c r="F16" s="36">
        <f>IF(F30*$D$34=0,"-",1000*F30/$D$34)</f>
        <v>46.812557016611628</v>
      </c>
      <c r="G16" s="301"/>
      <c r="H16" s="300"/>
      <c r="J16" s="24" t="s">
        <v>6</v>
      </c>
      <c r="K16" s="34">
        <f t="shared" si="1"/>
        <v>9.0675074460520769E-2</v>
      </c>
      <c r="L16" s="35">
        <f t="shared" si="1"/>
        <v>1.6497269132802757E-2</v>
      </c>
      <c r="M16" s="36">
        <f t="shared" si="1"/>
        <v>31.600645637194752</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2050.1991048305536</v>
      </c>
      <c r="E20" s="29">
        <f t="shared" si="2"/>
        <v>16396.957562421932</v>
      </c>
      <c r="F20" s="30">
        <f t="shared" si="2"/>
        <v>20.502488828007429</v>
      </c>
      <c r="G20" s="305" t="s">
        <v>253</v>
      </c>
      <c r="H20" s="300"/>
      <c r="J20" s="24" t="s">
        <v>9</v>
      </c>
      <c r="K20" s="28">
        <f t="shared" ref="K20:M23" si="3">IF(K27=0,"-",$D$34/K27)</f>
        <v>2050.2462258804662</v>
      </c>
      <c r="L20" s="29">
        <f t="shared" si="3"/>
        <v>16399.959306119548</v>
      </c>
      <c r="M20" s="30">
        <f t="shared" si="3"/>
        <v>13.023388092985174</v>
      </c>
      <c r="N20" s="305" t="s">
        <v>132</v>
      </c>
      <c r="O20" s="300"/>
    </row>
    <row r="21" spans="1:16">
      <c r="C21" s="24" t="s">
        <v>7</v>
      </c>
      <c r="D21" s="31">
        <f t="shared" si="2"/>
        <v>2050.2525269007374</v>
      </c>
      <c r="E21" s="32">
        <f t="shared" si="2"/>
        <v>16931.133685548921</v>
      </c>
      <c r="F21" s="33">
        <f t="shared" si="2"/>
        <v>20.697780617134036</v>
      </c>
      <c r="G21" s="301"/>
      <c r="H21" s="300"/>
      <c r="J21" s="24" t="s">
        <v>7</v>
      </c>
      <c r="K21" s="31">
        <f t="shared" si="3"/>
        <v>2664.6303894884109</v>
      </c>
      <c r="L21" s="32">
        <f t="shared" si="3"/>
        <v>22383.581697092599</v>
      </c>
      <c r="M21" s="33">
        <f t="shared" si="3"/>
        <v>17.889579915966252</v>
      </c>
      <c r="N21" s="301"/>
      <c r="O21" s="300"/>
    </row>
    <row r="22" spans="1:16">
      <c r="C22" s="24" t="s">
        <v>8</v>
      </c>
      <c r="D22" s="31">
        <f t="shared" si="2"/>
        <v>2050.2468653457436</v>
      </c>
      <c r="E22" s="32">
        <f t="shared" si="2"/>
        <v>16401.984769527939</v>
      </c>
      <c r="F22" s="33">
        <f t="shared" si="2"/>
        <v>20.502501959162071</v>
      </c>
      <c r="G22" s="301"/>
      <c r="H22" s="300"/>
      <c r="J22" s="24" t="s">
        <v>8</v>
      </c>
      <c r="K22" s="31">
        <f t="shared" si="3"/>
        <v>2555.9962074148307</v>
      </c>
      <c r="L22" s="32">
        <f t="shared" si="3"/>
        <v>21253.464966351326</v>
      </c>
      <c r="M22" s="33">
        <f t="shared" si="3"/>
        <v>20.502499999999998</v>
      </c>
      <c r="N22" s="301"/>
      <c r="O22" s="300"/>
    </row>
    <row r="23" spans="1:16" ht="13.5" thickBot="1">
      <c r="C23" s="24" t="s">
        <v>6</v>
      </c>
      <c r="D23" s="34">
        <f t="shared" si="2"/>
        <v>2050.3396179213946</v>
      </c>
      <c r="E23" s="35">
        <f t="shared" si="2"/>
        <v>19166.537158358664</v>
      </c>
      <c r="F23" s="36">
        <f t="shared" si="2"/>
        <v>21.361789736141649</v>
      </c>
      <c r="G23" s="301"/>
      <c r="H23" s="300"/>
      <c r="J23" s="24" t="s">
        <v>6</v>
      </c>
      <c r="K23" s="34">
        <f t="shared" si="3"/>
        <v>11028.389068876832</v>
      </c>
      <c r="L23" s="35">
        <f t="shared" si="3"/>
        <v>60616.092999999935</v>
      </c>
      <c r="M23" s="36">
        <f t="shared" si="3"/>
        <v>31.64492306521025</v>
      </c>
      <c r="N23" s="301"/>
      <c r="O23" s="300"/>
    </row>
    <row r="24" spans="1:16" ht="13.5" thickBot="1"/>
    <row r="25" spans="1:16" s="42" customFormat="1">
      <c r="A25" s="86" t="s">
        <v>255</v>
      </c>
      <c r="D25" s="43" t="s">
        <v>128</v>
      </c>
      <c r="E25" s="43" t="s">
        <v>129</v>
      </c>
      <c r="F25" s="43" t="s">
        <v>130</v>
      </c>
      <c r="H25" s="86"/>
      <c r="K25" s="99" t="s">
        <v>128</v>
      </c>
      <c r="L25" s="43" t="s">
        <v>129</v>
      </c>
      <c r="M25" s="101" t="s">
        <v>130</v>
      </c>
    </row>
    <row r="26" spans="1:16" ht="5.25" customHeight="1" thickBot="1">
      <c r="K26" s="98"/>
      <c r="M26" s="100"/>
    </row>
    <row r="27" spans="1:16" ht="12.75" customHeight="1">
      <c r="C27" s="24" t="s">
        <v>9</v>
      </c>
      <c r="D27" s="222">
        <v>2.0000496490017249E-2</v>
      </c>
      <c r="E27" s="223">
        <v>2.5007688068897642E-3</v>
      </c>
      <c r="F27" s="224">
        <v>2.0000010898181837</v>
      </c>
      <c r="G27" s="305" t="str">
        <f>"EOS pounds removed per '"&amp;E3&amp;"' of practice per year"</f>
        <v>EOS pounds removed per 'foot' of practice per year</v>
      </c>
      <c r="H27" s="300"/>
      <c r="J27" s="24" t="s">
        <v>9</v>
      </c>
      <c r="K27" s="222">
        <v>2.000003681625637E-2</v>
      </c>
      <c r="L27" s="223">
        <v>2.5003110821561138E-3</v>
      </c>
      <c r="M27" s="224">
        <v>3.1485662338578884</v>
      </c>
      <c r="N27" s="305" t="str">
        <f>"delivered pounds removed per '"&amp;E3&amp;"' of practice per year"</f>
        <v>delivered pounds removed per 'foot' of practice per year</v>
      </c>
      <c r="O27" s="300"/>
      <c r="P27" s="205"/>
    </row>
    <row r="28" spans="1:16">
      <c r="C28" s="24" t="s">
        <v>7</v>
      </c>
      <c r="D28" s="225">
        <v>1.9999975350346318E-2</v>
      </c>
      <c r="E28" s="226">
        <v>2.4218697201002335E-3</v>
      </c>
      <c r="F28" s="227">
        <v>1.9811302843772165</v>
      </c>
      <c r="G28" s="301"/>
      <c r="H28" s="300"/>
      <c r="J28" s="24" t="s">
        <v>7</v>
      </c>
      <c r="K28" s="225">
        <v>1.5388625815332178E-2</v>
      </c>
      <c r="L28" s="226">
        <v>1.8319230833967082E-3</v>
      </c>
      <c r="M28" s="227">
        <v>2.2921164271388781</v>
      </c>
      <c r="N28" s="301"/>
      <c r="O28" s="300"/>
      <c r="P28" s="205"/>
    </row>
    <row r="29" spans="1:16">
      <c r="C29" s="24" t="s">
        <v>8</v>
      </c>
      <c r="D29" s="225">
        <v>2.0000030578310436E-2</v>
      </c>
      <c r="E29" s="226">
        <v>2.5000023214373558E-3</v>
      </c>
      <c r="F29" s="227">
        <v>1.9999998088855615</v>
      </c>
      <c r="G29" s="301"/>
      <c r="H29" s="300"/>
      <c r="J29" s="24" t="s">
        <v>8</v>
      </c>
      <c r="K29" s="225">
        <v>1.6042668561497206E-2</v>
      </c>
      <c r="L29" s="226">
        <v>1.9293324671962654E-3</v>
      </c>
      <c r="M29" s="227">
        <v>2</v>
      </c>
      <c r="N29" s="301"/>
      <c r="O29" s="300"/>
      <c r="P29" s="205"/>
    </row>
    <row r="30" spans="1:16" ht="13.5" thickBot="1">
      <c r="C30" s="24" t="s">
        <v>6</v>
      </c>
      <c r="D30" s="228">
        <v>1.9999125823638077E-2</v>
      </c>
      <c r="E30" s="229">
        <v>2.1394057602167026E-3</v>
      </c>
      <c r="F30" s="230">
        <v>1.9195489004661594</v>
      </c>
      <c r="G30" s="301"/>
      <c r="H30" s="300"/>
      <c r="J30" s="24" t="s">
        <v>6</v>
      </c>
      <c r="K30" s="228">
        <v>3.7181314282536534E-3</v>
      </c>
      <c r="L30" s="229">
        <v>6.7647052079057688E-4</v>
      </c>
      <c r="M30" s="230">
        <v>1.2957844743531708</v>
      </c>
      <c r="N30" s="301"/>
      <c r="O30" s="300"/>
      <c r="P30" s="205"/>
    </row>
    <row r="31" spans="1:16" ht="13.5" thickBot="1">
      <c r="D31" s="98"/>
      <c r="F31" s="100"/>
    </row>
    <row r="32" spans="1:16" s="42" customFormat="1">
      <c r="A32" s="86" t="s">
        <v>1</v>
      </c>
    </row>
    <row r="33" spans="1:14" ht="5.25" customHeight="1" thickBot="1"/>
    <row r="34" spans="1:14" ht="13.5" thickBot="1">
      <c r="C34" s="24" t="s">
        <v>11</v>
      </c>
      <c r="D34" s="46">
        <f>-PMT(D39,D38,D36)+D37</f>
        <v>41.004999999999995</v>
      </c>
      <c r="E34" s="18" t="str">
        <f>"$ per '"&amp;E3&amp;"' of practice per year"</f>
        <v>$ per 'foot' of practice per year</v>
      </c>
      <c r="I34" s="82" t="s">
        <v>169</v>
      </c>
      <c r="J34" s="217" t="s">
        <v>160</v>
      </c>
      <c r="K34" s="218" t="s">
        <v>233</v>
      </c>
      <c r="L34" s="219" t="s">
        <v>165</v>
      </c>
    </row>
    <row r="35" spans="1:14" ht="5.25" customHeight="1" thickBot="1">
      <c r="C35" s="24"/>
      <c r="D35" s="47"/>
      <c r="E35" s="18"/>
      <c r="I35" s="78"/>
      <c r="J35" s="220"/>
      <c r="K35" s="220"/>
      <c r="L35" s="221"/>
    </row>
    <row r="36" spans="1:14">
      <c r="C36" s="24" t="s">
        <v>10</v>
      </c>
      <c r="D36" s="38">
        <f>L36</f>
        <v>645</v>
      </c>
      <c r="E36" s="18" t="str">
        <f>"$ per '"&amp;E3&amp;"' of practice"</f>
        <v>$ per 'foot' of practice</v>
      </c>
      <c r="I36" s="78" t="s">
        <v>162</v>
      </c>
      <c r="J36" s="236">
        <v>645</v>
      </c>
      <c r="K36" s="236">
        <v>645</v>
      </c>
      <c r="L36" s="241">
        <f>AVERAGE(J36:K36)</f>
        <v>645</v>
      </c>
      <c r="M36" s="44"/>
      <c r="N36" s="44"/>
    </row>
    <row r="37" spans="1:14">
      <c r="C37" s="24" t="s">
        <v>12</v>
      </c>
      <c r="D37" s="39">
        <f>L37</f>
        <v>8.754999999999999</v>
      </c>
      <c r="E37" s="18" t="str">
        <f>"$ per '"&amp;E3&amp;"' of practice per year"</f>
        <v>$ per 'foot' of practice per year</v>
      </c>
      <c r="I37" s="78" t="s">
        <v>161</v>
      </c>
      <c r="J37" s="236">
        <v>8.6</v>
      </c>
      <c r="K37" s="236">
        <v>8.91</v>
      </c>
      <c r="L37" s="241">
        <f>AVERAGE(J37:K37)</f>
        <v>8.754999999999999</v>
      </c>
      <c r="M37" s="44"/>
      <c r="N37" s="44"/>
    </row>
    <row r="38" spans="1:14">
      <c r="C38" s="24" t="s">
        <v>13</v>
      </c>
      <c r="D38" s="40">
        <f>L38</f>
        <v>20</v>
      </c>
      <c r="E38" s="18" t="s">
        <v>15</v>
      </c>
      <c r="I38" s="78" t="s">
        <v>163</v>
      </c>
      <c r="J38" s="245">
        <v>20</v>
      </c>
      <c r="K38" s="245">
        <v>20</v>
      </c>
      <c r="L38" s="247">
        <v>20</v>
      </c>
      <c r="M38" s="44"/>
      <c r="N38" s="44"/>
    </row>
    <row r="39" spans="1:14" ht="13.5" thickBot="1">
      <c r="C39" s="24" t="s">
        <v>14</v>
      </c>
      <c r="D39" s="41">
        <f>Summary!C35</f>
        <v>0</v>
      </c>
      <c r="E39" s="18" t="s">
        <v>16</v>
      </c>
      <c r="I39" s="80" t="s">
        <v>166</v>
      </c>
      <c r="J39" s="239">
        <f>J37+(J36/J38)</f>
        <v>40.85</v>
      </c>
      <c r="K39" s="239">
        <f>K37+(K36/K38)</f>
        <v>41.16</v>
      </c>
      <c r="L39" s="242">
        <f>L37+(L36/L38)</f>
        <v>41.004999999999995</v>
      </c>
      <c r="M39" s="44"/>
      <c r="N39" s="44"/>
    </row>
    <row r="40" spans="1:14">
      <c r="F40" s="234"/>
      <c r="J40" s="44"/>
      <c r="K40" s="44"/>
      <c r="L40" s="44"/>
      <c r="M40" s="44"/>
      <c r="N40" s="44"/>
    </row>
    <row r="41" spans="1:14">
      <c r="I41" s="304" t="s">
        <v>197</v>
      </c>
      <c r="J41" s="304"/>
      <c r="K41" s="304"/>
      <c r="L41" s="304"/>
      <c r="M41" s="44"/>
      <c r="N41" s="44"/>
    </row>
    <row r="42" spans="1:14">
      <c r="I42" s="304"/>
      <c r="J42" s="304"/>
      <c r="K42" s="304"/>
      <c r="L42" s="304"/>
    </row>
    <row r="43" spans="1:14">
      <c r="I43" s="304"/>
      <c r="J43" s="304"/>
      <c r="K43" s="304"/>
      <c r="L43" s="304"/>
    </row>
    <row r="44" spans="1:14">
      <c r="I44" s="304"/>
      <c r="J44" s="304"/>
      <c r="K44" s="304"/>
      <c r="L44" s="304"/>
    </row>
    <row r="45" spans="1:14">
      <c r="I45" s="304"/>
      <c r="J45" s="304"/>
      <c r="K45" s="304"/>
      <c r="L45" s="304"/>
    </row>
    <row r="48" spans="1:14">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73.xml><?xml version="1.0" encoding="utf-8"?>
<worksheet xmlns="http://schemas.openxmlformats.org/spreadsheetml/2006/main" xmlns:r="http://schemas.openxmlformats.org/officeDocument/2006/relationships">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1" style="17" bestFit="1" customWidth="1"/>
    <col min="13" max="16384" width="9.140625" style="17"/>
  </cols>
  <sheetData>
    <row r="1" spans="1:19" s="20" customFormat="1" ht="21" customHeight="1">
      <c r="A1" s="302" t="s">
        <v>136</v>
      </c>
      <c r="B1" s="303"/>
      <c r="D1" s="25" t="s">
        <v>134</v>
      </c>
      <c r="E1" s="89" t="str">
        <f>VLOOKUP($K$1,'BMP info'!A:G,3,FALSE)</f>
        <v>Vegetated Open Channel - Urban</v>
      </c>
      <c r="I1" s="22"/>
      <c r="J1" s="37" t="s">
        <v>135</v>
      </c>
      <c r="K1" s="50">
        <v>58</v>
      </c>
      <c r="L1" s="22"/>
      <c r="M1" s="22"/>
      <c r="N1" s="22"/>
      <c r="O1" s="22"/>
      <c r="P1" s="22"/>
      <c r="Q1" s="22"/>
      <c r="R1" s="22"/>
    </row>
    <row r="2" spans="1:19" s="20" customFormat="1" ht="12.75" customHeight="1">
      <c r="D2" s="48" t="s">
        <v>3</v>
      </c>
      <c r="E2" s="19" t="str">
        <f>VLOOKUP($K$1,'BMP info'!A:G,4,FALSE)</f>
        <v>VegOpChanNoUDAB</v>
      </c>
      <c r="I2" s="23"/>
      <c r="L2" s="23"/>
      <c r="M2" s="23"/>
      <c r="N2" s="23"/>
      <c r="O2" s="23"/>
      <c r="P2" s="23"/>
      <c r="Q2" s="23"/>
      <c r="R2" s="23"/>
      <c r="S2" s="23"/>
    </row>
    <row r="3" spans="1:19" s="20" customFormat="1" ht="12.75" customHeight="1">
      <c r="D3" s="48" t="s">
        <v>79</v>
      </c>
      <c r="E3" s="19" t="str">
        <f>VLOOKUP($K$1,'BMP info'!A:G,5,FALSE)</f>
        <v>acre treated</v>
      </c>
      <c r="I3" s="23"/>
      <c r="K3" s="49"/>
      <c r="L3" s="23"/>
      <c r="M3" s="23"/>
      <c r="N3" s="23"/>
      <c r="O3" s="23"/>
      <c r="P3" s="23"/>
      <c r="Q3" s="23"/>
      <c r="R3" s="23"/>
      <c r="S3" s="23"/>
    </row>
    <row r="4" spans="1:19" s="20" customFormat="1" ht="12.75" customHeight="1">
      <c r="D4" s="48" t="s">
        <v>170</v>
      </c>
      <c r="E4" s="19" t="str">
        <f>VLOOKUP($K$1,'BMP info'!A:G,6,FALSE)</f>
        <v>efficiency treated</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43" t="s">
        <v>130</v>
      </c>
      <c r="K11" s="43" t="s">
        <v>128</v>
      </c>
      <c r="L11" s="43" t="s">
        <v>129</v>
      </c>
      <c r="M11" s="43" t="s">
        <v>130</v>
      </c>
    </row>
    <row r="12" spans="1:19" ht="5.25" customHeight="1" thickBot="1"/>
    <row r="13" spans="1:19" ht="12.75" customHeight="1">
      <c r="C13" s="24" t="s">
        <v>9</v>
      </c>
      <c r="D13" s="28">
        <f t="shared" ref="D13:F15" si="0">IF(D27*$D$34=0,"-",1000*D27/$D$34)</f>
        <v>12.581209313696023</v>
      </c>
      <c r="E13" s="29">
        <f t="shared" si="0"/>
        <v>0.9763187436128643</v>
      </c>
      <c r="F13" s="30">
        <f t="shared" si="0"/>
        <v>1070.4488169522092</v>
      </c>
      <c r="G13" s="305" t="s">
        <v>254</v>
      </c>
      <c r="H13" s="300"/>
      <c r="J13" s="24" t="s">
        <v>9</v>
      </c>
      <c r="K13" s="28">
        <f t="shared" ref="K13:M16" si="1">IF(K27*$D$34=0,"-",1000*K27/$D$34)</f>
        <v>9.7848667247770784</v>
      </c>
      <c r="L13" s="29">
        <f t="shared" si="1"/>
        <v>0.83220502554854214</v>
      </c>
      <c r="M13" s="30">
        <f t="shared" si="1"/>
        <v>788.848812744214</v>
      </c>
      <c r="N13" s="305" t="s">
        <v>133</v>
      </c>
      <c r="O13" s="300"/>
    </row>
    <row r="14" spans="1:19">
      <c r="C14" s="24" t="s">
        <v>7</v>
      </c>
      <c r="D14" s="31">
        <f t="shared" si="0"/>
        <v>7.9109308946999288</v>
      </c>
      <c r="E14" s="32">
        <f t="shared" si="0"/>
        <v>0.49069422101993787</v>
      </c>
      <c r="F14" s="33">
        <f t="shared" si="0"/>
        <v>370.13695200881676</v>
      </c>
      <c r="G14" s="301"/>
      <c r="H14" s="300"/>
      <c r="J14" s="24" t="s">
        <v>7</v>
      </c>
      <c r="K14" s="31">
        <f t="shared" si="1"/>
        <v>6.4636171826470301</v>
      </c>
      <c r="L14" s="32">
        <f t="shared" si="1"/>
        <v>0.39854504558661458</v>
      </c>
      <c r="M14" s="33">
        <f t="shared" si="1"/>
        <v>323.33959002103995</v>
      </c>
      <c r="N14" s="301"/>
      <c r="O14" s="300"/>
    </row>
    <row r="15" spans="1:19">
      <c r="C15" s="24" t="s">
        <v>8</v>
      </c>
      <c r="D15" s="31">
        <f t="shared" si="0"/>
        <v>6.140255597635508</v>
      </c>
      <c r="E15" s="32">
        <f t="shared" si="0"/>
        <v>0.34878699929866747</v>
      </c>
      <c r="F15" s="33">
        <f t="shared" si="0"/>
        <v>167.38700082156095</v>
      </c>
      <c r="G15" s="301"/>
      <c r="H15" s="300"/>
      <c r="J15" s="24" t="s">
        <v>8</v>
      </c>
      <c r="K15" s="31">
        <f t="shared" si="1"/>
        <v>6.140255597635508</v>
      </c>
      <c r="L15" s="32">
        <f t="shared" si="1"/>
        <v>0.27403984971445744</v>
      </c>
      <c r="M15" s="33">
        <f t="shared" si="1"/>
        <v>171.7961681995792</v>
      </c>
      <c r="N15" s="301"/>
      <c r="O15" s="300"/>
    </row>
    <row r="16" spans="1:19" ht="13.5" thickBot="1">
      <c r="C16" s="24" t="s">
        <v>6</v>
      </c>
      <c r="D16" s="34">
        <f>IF(E30*$D$34=0,"-",1000*E30/$D$34)</f>
        <v>0.1982343813245166</v>
      </c>
      <c r="E16" s="35">
        <f>IF(E30*$D$34=0,"-",1000*E30/$D$34)</f>
        <v>0.1982343813245166</v>
      </c>
      <c r="F16" s="36">
        <f>IF(F30*$D$34=0,"-",1000*F30/$D$34)</f>
        <v>88.965639454964446</v>
      </c>
      <c r="G16" s="301"/>
      <c r="H16" s="300"/>
      <c r="J16" s="24" t="s">
        <v>6</v>
      </c>
      <c r="K16" s="34">
        <f t="shared" si="1"/>
        <v>5.3482740266506363</v>
      </c>
      <c r="L16" s="35">
        <f t="shared" si="1"/>
        <v>0.19821834084761045</v>
      </c>
      <c r="M16" s="36">
        <f t="shared" si="1"/>
        <v>107.55364807133554</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79.483615212679965</v>
      </c>
      <c r="E20" s="29">
        <f t="shared" si="2"/>
        <v>1024.2556609120329</v>
      </c>
      <c r="F20" s="30">
        <f t="shared" si="2"/>
        <v>0.9341875895077435</v>
      </c>
      <c r="G20" s="305" t="s">
        <v>253</v>
      </c>
      <c r="H20" s="300"/>
      <c r="J20" s="24" t="s">
        <v>9</v>
      </c>
      <c r="K20" s="28">
        <f t="shared" ref="K20:M23" si="3">IF(K27=0,"-",$D$34/K27)</f>
        <v>102.19863265667345</v>
      </c>
      <c r="L20" s="29">
        <f t="shared" si="3"/>
        <v>1201.6269660722812</v>
      </c>
      <c r="M20" s="30">
        <f t="shared" si="3"/>
        <v>1.2676700323871213</v>
      </c>
      <c r="N20" s="305" t="s">
        <v>132</v>
      </c>
      <c r="O20" s="300"/>
    </row>
    <row r="21" spans="1:16">
      <c r="C21" s="24" t="s">
        <v>7</v>
      </c>
      <c r="D21" s="31">
        <f t="shared" si="2"/>
        <v>126.40737396277447</v>
      </c>
      <c r="E21" s="32">
        <f t="shared" si="2"/>
        <v>2037.9290343412624</v>
      </c>
      <c r="F21" s="33">
        <f t="shared" si="2"/>
        <v>2.7017026929431776</v>
      </c>
      <c r="G21" s="301"/>
      <c r="H21" s="300"/>
      <c r="J21" s="24" t="s">
        <v>7</v>
      </c>
      <c r="K21" s="31">
        <f t="shared" si="3"/>
        <v>154.71213281082225</v>
      </c>
      <c r="L21" s="32">
        <f t="shared" si="3"/>
        <v>2509.1266622775593</v>
      </c>
      <c r="M21" s="33">
        <f t="shared" si="3"/>
        <v>3.0927236591563974</v>
      </c>
      <c r="N21" s="301"/>
      <c r="O21" s="300"/>
    </row>
    <row r="22" spans="1:16">
      <c r="C22" s="24" t="s">
        <v>8</v>
      </c>
      <c r="D22" s="31">
        <f t="shared" si="2"/>
        <v>162.85966994355746</v>
      </c>
      <c r="E22" s="32">
        <f t="shared" si="2"/>
        <v>2867.0793407173319</v>
      </c>
      <c r="F22" s="33">
        <f t="shared" si="2"/>
        <v>5.974179566464823</v>
      </c>
      <c r="G22" s="301"/>
      <c r="H22" s="300"/>
      <c r="J22" s="24" t="s">
        <v>8</v>
      </c>
      <c r="K22" s="31">
        <f t="shared" si="3"/>
        <v>162.85966994355746</v>
      </c>
      <c r="L22" s="32">
        <f t="shared" si="3"/>
        <v>3649.1043220246056</v>
      </c>
      <c r="M22" s="33">
        <f t="shared" si="3"/>
        <v>5.8208515968661132</v>
      </c>
      <c r="N22" s="301"/>
      <c r="O22" s="300"/>
    </row>
    <row r="23" spans="1:16" ht="13.5" thickBot="1">
      <c r="C23" s="24" t="s">
        <v>6</v>
      </c>
      <c r="D23" s="34">
        <f t="shared" si="2"/>
        <v>186.68273118483904</v>
      </c>
      <c r="E23" s="35">
        <f t="shared" si="2"/>
        <v>5044.5336137880404</v>
      </c>
      <c r="F23" s="36">
        <f t="shared" si="2"/>
        <v>11.240294636517653</v>
      </c>
      <c r="G23" s="301"/>
      <c r="H23" s="300"/>
      <c r="J23" s="24" t="s">
        <v>6</v>
      </c>
      <c r="K23" s="34">
        <f t="shared" si="3"/>
        <v>186.97620858934397</v>
      </c>
      <c r="L23" s="35">
        <f t="shared" si="3"/>
        <v>5044.9418339587273</v>
      </c>
      <c r="M23" s="36">
        <f t="shared" si="3"/>
        <v>9.2976855544383259</v>
      </c>
      <c r="N23" s="301"/>
      <c r="O23" s="300"/>
    </row>
    <row r="24" spans="1:16" ht="13.5" thickBot="1"/>
    <row r="25" spans="1:16" s="42" customFormat="1">
      <c r="A25" s="86" t="s">
        <v>255</v>
      </c>
      <c r="D25" s="43" t="s">
        <v>128</v>
      </c>
      <c r="E25" s="43" t="s">
        <v>129</v>
      </c>
      <c r="F25" s="43" t="s">
        <v>130</v>
      </c>
      <c r="H25" s="86"/>
      <c r="K25" s="43" t="s">
        <v>128</v>
      </c>
      <c r="L25" s="43" t="s">
        <v>129</v>
      </c>
      <c r="M25" s="43" t="s">
        <v>130</v>
      </c>
    </row>
    <row r="26" spans="1:16" ht="5.25" customHeight="1" thickBot="1"/>
    <row r="27" spans="1:16" ht="12.75" customHeight="1">
      <c r="C27" s="24" t="s">
        <v>9</v>
      </c>
      <c r="D27" s="208">
        <v>6.2786525080000004</v>
      </c>
      <c r="E27" s="209">
        <v>0.48723186899999998</v>
      </c>
      <c r="F27" s="210">
        <v>534.20748209999999</v>
      </c>
      <c r="G27" s="305" t="str">
        <f>"EOS pounds removed per '"&amp;E3&amp;"' of practice per year"</f>
        <v>EOS pounds removed per 'acre treated' of practice per year</v>
      </c>
      <c r="H27" s="300"/>
      <c r="J27" s="24" t="s">
        <v>9</v>
      </c>
      <c r="K27" s="208">
        <v>4.8831377390000004</v>
      </c>
      <c r="L27" s="209">
        <v>0.415311918</v>
      </c>
      <c r="M27" s="210">
        <v>393.67500000000001</v>
      </c>
      <c r="N27" s="305" t="str">
        <f>"delivered pounds removed per '"&amp;E3&amp;"' of practice per year"</f>
        <v>delivered pounds removed per 'acre treated' of practice per year</v>
      </c>
      <c r="O27" s="300"/>
      <c r="P27" s="205"/>
    </row>
    <row r="28" spans="1:16">
      <c r="C28" s="24" t="s">
        <v>7</v>
      </c>
      <c r="D28" s="211">
        <v>3.947950063</v>
      </c>
      <c r="E28" s="212">
        <v>0.24488095100000001</v>
      </c>
      <c r="F28" s="213">
        <v>184.71684590000001</v>
      </c>
      <c r="G28" s="301"/>
      <c r="H28" s="300"/>
      <c r="J28" s="24" t="s">
        <v>7</v>
      </c>
      <c r="K28" s="211">
        <v>3.2256681550000001</v>
      </c>
      <c r="L28" s="212">
        <v>0.19889390500000001</v>
      </c>
      <c r="M28" s="213">
        <v>161.36262239999999</v>
      </c>
      <c r="N28" s="301"/>
      <c r="O28" s="300"/>
      <c r="P28" s="205"/>
    </row>
    <row r="29" spans="1:16">
      <c r="C29" s="24" t="s">
        <v>8</v>
      </c>
      <c r="D29" s="211">
        <v>3.0642945560000001</v>
      </c>
      <c r="E29" s="212">
        <v>0.174062152</v>
      </c>
      <c r="F29" s="213">
        <v>83.534482760000003</v>
      </c>
      <c r="G29" s="301"/>
      <c r="H29" s="300"/>
      <c r="J29" s="24" t="s">
        <v>8</v>
      </c>
      <c r="K29" s="211">
        <v>3.0642945560000001</v>
      </c>
      <c r="L29" s="212">
        <v>0.13675958699999999</v>
      </c>
      <c r="M29" s="213">
        <v>85.734877740000002</v>
      </c>
      <c r="N29" s="301"/>
      <c r="O29" s="300"/>
      <c r="P29" s="205"/>
    </row>
    <row r="30" spans="1:16" ht="13.5" thickBot="1">
      <c r="C30" s="24" t="s">
        <v>6</v>
      </c>
      <c r="D30" s="214">
        <v>2.6732520829999999</v>
      </c>
      <c r="E30" s="215">
        <v>9.8928868000000003E-2</v>
      </c>
      <c r="F30" s="216">
        <v>44.398302370000003</v>
      </c>
      <c r="G30" s="301"/>
      <c r="H30" s="300"/>
      <c r="J30" s="24" t="s">
        <v>6</v>
      </c>
      <c r="K30" s="214">
        <v>2.6690561530000001</v>
      </c>
      <c r="L30" s="215">
        <v>9.8920862999999998E-2</v>
      </c>
      <c r="M30" s="216">
        <v>53.674648070000003</v>
      </c>
      <c r="N30" s="301"/>
      <c r="O30" s="300"/>
      <c r="P30" s="205"/>
    </row>
    <row r="31" spans="1:16" ht="13.5" thickBot="1"/>
    <row r="32" spans="1:16" s="42" customFormat="1">
      <c r="A32" s="86" t="s">
        <v>1</v>
      </c>
    </row>
    <row r="33" spans="1:12" ht="5.25" customHeight="1" thickBot="1"/>
    <row r="34" spans="1:12" ht="13.5" thickBot="1">
      <c r="C34" s="24" t="s">
        <v>11</v>
      </c>
      <c r="D34" s="46">
        <f>-PMT(D39,D38,D36)+D37</f>
        <v>499.05</v>
      </c>
      <c r="E34" s="18" t="str">
        <f>"$ per '"&amp;E3&amp;"' of practice per year"</f>
        <v>$ per 'acre treated' of practice per year</v>
      </c>
      <c r="I34" s="82"/>
      <c r="J34" s="217" t="s">
        <v>160</v>
      </c>
      <c r="K34" s="218" t="s">
        <v>233</v>
      </c>
      <c r="L34" s="219" t="s">
        <v>165</v>
      </c>
    </row>
    <row r="35" spans="1:12" ht="5.25" customHeight="1" thickBot="1">
      <c r="C35" s="24"/>
      <c r="D35" s="47"/>
      <c r="E35" s="18"/>
      <c r="I35" s="78"/>
      <c r="J35" s="220"/>
      <c r="K35" s="220"/>
      <c r="L35" s="221"/>
    </row>
    <row r="36" spans="1:12">
      <c r="C36" s="24" t="s">
        <v>10</v>
      </c>
      <c r="D36" s="38">
        <f>L36</f>
        <v>3631</v>
      </c>
      <c r="E36" s="18" t="str">
        <f>"$ per '"&amp;E3&amp;"' of practice"</f>
        <v>$ per 'acre treated' of practice</v>
      </c>
      <c r="I36" s="78" t="s">
        <v>162</v>
      </c>
      <c r="J36" s="236">
        <v>762</v>
      </c>
      <c r="K36" s="236">
        <v>6500</v>
      </c>
      <c r="L36" s="241">
        <f>AVERAGE(J36:K36)</f>
        <v>3631</v>
      </c>
    </row>
    <row r="37" spans="1:12">
      <c r="C37" s="24" t="s">
        <v>12</v>
      </c>
      <c r="D37" s="39">
        <f>L37</f>
        <v>317.5</v>
      </c>
      <c r="E37" s="18" t="str">
        <f>"$ per '"&amp;E3&amp;"' of practice per year"</f>
        <v>$ per 'acre treated' of practice per year</v>
      </c>
      <c r="I37" s="78" t="s">
        <v>161</v>
      </c>
      <c r="J37" s="236">
        <v>507</v>
      </c>
      <c r="K37" s="236">
        <v>128</v>
      </c>
      <c r="L37" s="241">
        <f>AVERAGE(J37:K37)</f>
        <v>317.5</v>
      </c>
    </row>
    <row r="38" spans="1:12">
      <c r="C38" s="24" t="s">
        <v>13</v>
      </c>
      <c r="D38" s="40">
        <f>L38</f>
        <v>20</v>
      </c>
      <c r="E38" s="18" t="s">
        <v>15</v>
      </c>
      <c r="I38" s="78" t="s">
        <v>163</v>
      </c>
      <c r="J38" s="245">
        <v>20</v>
      </c>
      <c r="K38" s="245">
        <v>20</v>
      </c>
      <c r="L38" s="247">
        <v>20</v>
      </c>
    </row>
    <row r="39" spans="1:12" ht="13.5" thickBot="1">
      <c r="C39" s="24" t="s">
        <v>14</v>
      </c>
      <c r="D39" s="41">
        <f>Summary!C35</f>
        <v>0</v>
      </c>
      <c r="E39" s="18" t="s">
        <v>16</v>
      </c>
      <c r="I39" s="80" t="s">
        <v>166</v>
      </c>
      <c r="J39" s="239">
        <f>J37+(J36/J38)</f>
        <v>545.1</v>
      </c>
      <c r="K39" s="239">
        <f>K37+(K36/K38)</f>
        <v>453</v>
      </c>
      <c r="L39" s="242">
        <f>L37+(L36/L38)</f>
        <v>499.05</v>
      </c>
    </row>
    <row r="40" spans="1:12">
      <c r="F40" s="234"/>
    </row>
    <row r="41" spans="1:12" ht="12.75" customHeight="1">
      <c r="I41" s="304" t="s">
        <v>277</v>
      </c>
      <c r="J41" s="304"/>
      <c r="K41" s="304"/>
      <c r="L41" s="304"/>
    </row>
    <row r="42" spans="1:12">
      <c r="I42" s="304"/>
      <c r="J42" s="304"/>
      <c r="K42" s="304"/>
      <c r="L42" s="304"/>
    </row>
    <row r="43" spans="1:12">
      <c r="I43" s="304"/>
      <c r="J43" s="304"/>
      <c r="K43" s="304"/>
      <c r="L43" s="304"/>
    </row>
    <row r="44" spans="1:12">
      <c r="I44" s="304"/>
      <c r="J44" s="304"/>
      <c r="K44" s="304"/>
      <c r="L44" s="304"/>
    </row>
    <row r="45" spans="1:12">
      <c r="I45" s="304"/>
      <c r="J45" s="304"/>
      <c r="K45" s="304"/>
      <c r="L45" s="304"/>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74.xml><?xml version="1.0" encoding="utf-8"?>
<worksheet xmlns="http://schemas.openxmlformats.org/spreadsheetml/2006/main" xmlns:r="http://schemas.openxmlformats.org/officeDocument/2006/relationships">
  <dimension ref="A1:S48"/>
  <sheetViews>
    <sheetView workbookViewId="0">
      <pane ySplit="6" topLeftCell="A7" activePane="bottomLeft" state="frozenSplit"/>
      <selection activeCell="M48" sqref="M48"/>
      <selection pane="bottomLeft" activeCell="A48" sqref="A48"/>
    </sheetView>
  </sheetViews>
  <sheetFormatPr defaultRowHeight="12.75"/>
  <cols>
    <col min="1" max="1" width="9.140625" style="17"/>
    <col min="2" max="2" width="5.85546875" style="17" customWidth="1"/>
    <col min="3" max="3" width="8.85546875" style="17" customWidth="1"/>
    <col min="4" max="6" width="10.85546875" style="17" customWidth="1"/>
    <col min="7" max="7" width="9.140625" style="17"/>
    <col min="8" max="8" width="11.7109375" style="17" customWidth="1"/>
    <col min="9" max="9" width="14.5703125" style="17" customWidth="1"/>
    <col min="10" max="10" width="12.85546875" style="17" bestFit="1" customWidth="1"/>
    <col min="11" max="12" width="11" style="17" bestFit="1" customWidth="1"/>
    <col min="13" max="16384" width="9.140625" style="17"/>
  </cols>
  <sheetData>
    <row r="1" spans="1:19" s="20" customFormat="1" ht="21" customHeight="1">
      <c r="A1" s="302" t="s">
        <v>136</v>
      </c>
      <c r="B1" s="303"/>
      <c r="D1" s="25" t="s">
        <v>134</v>
      </c>
      <c r="E1" s="89" t="str">
        <f>VLOOKUP($K$1,'BMP info'!A:G,3,FALSE)</f>
        <v>Wet Ponds and Wetlands</v>
      </c>
      <c r="I1" s="22"/>
      <c r="J1" s="37" t="s">
        <v>135</v>
      </c>
      <c r="K1" s="50">
        <v>59</v>
      </c>
      <c r="L1" s="22"/>
      <c r="M1" s="22"/>
      <c r="N1" s="22"/>
      <c r="O1" s="22"/>
      <c r="P1" s="22"/>
      <c r="Q1" s="22"/>
      <c r="R1" s="22"/>
    </row>
    <row r="2" spans="1:19" s="20" customFormat="1" ht="12.75" customHeight="1">
      <c r="D2" s="48" t="s">
        <v>3</v>
      </c>
      <c r="E2" s="19" t="str">
        <f>VLOOKUP($K$1,'BMP info'!A:G,4,FALSE)</f>
        <v>WetPondWetland</v>
      </c>
      <c r="I2" s="23"/>
      <c r="L2" s="23"/>
      <c r="M2" s="23"/>
      <c r="N2" s="23"/>
      <c r="O2" s="23"/>
      <c r="P2" s="23"/>
      <c r="Q2" s="23"/>
      <c r="R2" s="23"/>
      <c r="S2" s="23"/>
    </row>
    <row r="3" spans="1:19" s="20" customFormat="1" ht="12.75" customHeight="1">
      <c r="D3" s="48" t="s">
        <v>79</v>
      </c>
      <c r="E3" s="19" t="str">
        <f>VLOOKUP($K$1,'BMP info'!A:G,5,FALSE)</f>
        <v>acre treated</v>
      </c>
      <c r="I3" s="23"/>
      <c r="K3" s="49"/>
      <c r="L3" s="23"/>
      <c r="M3" s="23"/>
      <c r="N3" s="23"/>
      <c r="O3" s="23"/>
      <c r="P3" s="23"/>
      <c r="Q3" s="23"/>
      <c r="R3" s="23"/>
      <c r="S3" s="23"/>
    </row>
    <row r="4" spans="1:19" s="20" customFormat="1" ht="12.75" customHeight="1">
      <c r="D4" s="48" t="s">
        <v>170</v>
      </c>
      <c r="E4" s="19" t="str">
        <f>VLOOKUP($K$1,'BMP info'!A:G,6,FALSE)</f>
        <v>efficiency treated</v>
      </c>
      <c r="I4" s="23"/>
      <c r="K4" s="49"/>
      <c r="L4" s="23"/>
      <c r="M4" s="23"/>
      <c r="N4" s="23"/>
      <c r="O4" s="23"/>
      <c r="P4" s="23"/>
      <c r="Q4" s="23"/>
      <c r="R4" s="23"/>
      <c r="S4" s="23"/>
    </row>
    <row r="5" spans="1:19" s="20" customFormat="1">
      <c r="D5" s="48" t="s">
        <v>4</v>
      </c>
      <c r="E5" s="19" t="str">
        <f>VLOOKUP($K$1,'BMP info'!A:G,7,FALSE)</f>
        <v>MAST</v>
      </c>
      <c r="H5" s="23"/>
      <c r="I5" s="23"/>
      <c r="L5" s="23"/>
      <c r="M5" s="23"/>
      <c r="N5" s="23"/>
      <c r="O5" s="23"/>
      <c r="P5" s="23"/>
      <c r="Q5" s="23"/>
      <c r="R5" s="23"/>
      <c r="S5" s="23"/>
    </row>
    <row r="6" spans="1:19" s="21" customFormat="1" ht="6.75" customHeight="1" thickBot="1"/>
    <row r="7" spans="1:19" ht="7.5" customHeight="1"/>
    <row r="8" spans="1:19">
      <c r="D8" s="26" t="s">
        <v>5</v>
      </c>
      <c r="E8" s="45" t="s">
        <v>131</v>
      </c>
      <c r="F8" s="44"/>
      <c r="G8" s="44"/>
    </row>
    <row r="9" spans="1:19" ht="6.75" customHeight="1"/>
    <row r="10" spans="1:19" ht="13.5" thickBot="1">
      <c r="D10" s="206" t="s">
        <v>250</v>
      </c>
      <c r="E10" s="207"/>
      <c r="F10" s="207"/>
      <c r="G10" s="207"/>
      <c r="H10" s="207"/>
      <c r="I10" s="207"/>
      <c r="J10" s="207"/>
      <c r="K10" s="206" t="s">
        <v>251</v>
      </c>
    </row>
    <row r="11" spans="1:19" s="42" customFormat="1">
      <c r="A11" s="86" t="s">
        <v>2</v>
      </c>
      <c r="D11" s="43" t="s">
        <v>128</v>
      </c>
      <c r="E11" s="43" t="s">
        <v>129</v>
      </c>
      <c r="F11" s="43" t="s">
        <v>130</v>
      </c>
      <c r="K11" s="43" t="s">
        <v>128</v>
      </c>
      <c r="L11" s="43" t="s">
        <v>129</v>
      </c>
      <c r="M11" s="43" t="s">
        <v>130</v>
      </c>
    </row>
    <row r="12" spans="1:19" ht="5.25" customHeight="1" thickBot="1"/>
    <row r="13" spans="1:19" ht="12.75" customHeight="1">
      <c r="C13" s="24" t="s">
        <v>9</v>
      </c>
      <c r="D13" s="28">
        <f t="shared" ref="D13:F16" si="0">IF(D27*$D$34=0,"-",1000*D27/$D$34)</f>
        <v>9.0969716187363812</v>
      </c>
      <c r="E13" s="29">
        <f t="shared" si="0"/>
        <v>1.1438317145969501</v>
      </c>
      <c r="F13" s="30">
        <f t="shared" si="0"/>
        <v>792.73616535947701</v>
      </c>
      <c r="G13" s="305" t="s">
        <v>254</v>
      </c>
      <c r="H13" s="300"/>
      <c r="J13" s="24" t="s">
        <v>9</v>
      </c>
      <c r="K13" s="28">
        <f t="shared" ref="K13:M16" si="1">IF(K27*$D$34=0,"-",1000*K27/$D$34)</f>
        <v>5.351300518518519</v>
      </c>
      <c r="L13" s="29">
        <f t="shared" si="1"/>
        <v>0.83635505010893241</v>
      </c>
      <c r="M13" s="30">
        <f t="shared" si="1"/>
        <v>639.34056840958601</v>
      </c>
      <c r="N13" s="305" t="s">
        <v>133</v>
      </c>
      <c r="O13" s="300"/>
    </row>
    <row r="14" spans="1:19">
      <c r="C14" s="24" t="s">
        <v>7</v>
      </c>
      <c r="D14" s="31">
        <f t="shared" si="0"/>
        <v>5.1329931263616553</v>
      </c>
      <c r="E14" s="32">
        <f t="shared" si="0"/>
        <v>0.75108637472766882</v>
      </c>
      <c r="F14" s="33">
        <f t="shared" si="0"/>
        <v>393.61336710239652</v>
      </c>
      <c r="G14" s="301"/>
      <c r="H14" s="300"/>
      <c r="J14" s="24" t="s">
        <v>7</v>
      </c>
      <c r="K14" s="31">
        <f t="shared" si="1"/>
        <v>3.3518242636165576</v>
      </c>
      <c r="L14" s="32">
        <f t="shared" si="1"/>
        <v>0.54643739433551208</v>
      </c>
      <c r="M14" s="33">
        <f t="shared" si="1"/>
        <v>299.87318344226583</v>
      </c>
      <c r="N14" s="301"/>
      <c r="O14" s="300"/>
    </row>
    <row r="15" spans="1:19">
      <c r="C15" s="24" t="s">
        <v>8</v>
      </c>
      <c r="D15" s="31">
        <f t="shared" si="0"/>
        <v>4.0137358954248361</v>
      </c>
      <c r="E15" s="32">
        <f t="shared" si="0"/>
        <v>0.69013112418300659</v>
      </c>
      <c r="F15" s="33">
        <f t="shared" si="0"/>
        <v>268.6367263616558</v>
      </c>
      <c r="G15" s="301"/>
      <c r="H15" s="300"/>
      <c r="J15" s="24" t="s">
        <v>8</v>
      </c>
      <c r="K15" s="31">
        <f t="shared" si="1"/>
        <v>3.6300519324618739</v>
      </c>
      <c r="L15" s="32">
        <f t="shared" si="1"/>
        <v>0.53813756427015247</v>
      </c>
      <c r="M15" s="33">
        <f t="shared" si="1"/>
        <v>211.7707787799564</v>
      </c>
      <c r="N15" s="301"/>
      <c r="O15" s="300"/>
    </row>
    <row r="16" spans="1:19" ht="13.5" thickBot="1">
      <c r="C16" s="24" t="s">
        <v>6</v>
      </c>
      <c r="D16" s="34">
        <f t="shared" si="0"/>
        <v>2.4356730915032681</v>
      </c>
      <c r="E16" s="35">
        <f t="shared" si="0"/>
        <v>0.50091155555555555</v>
      </c>
      <c r="F16" s="36">
        <f t="shared" si="0"/>
        <v>14.657882631808278</v>
      </c>
      <c r="G16" s="301"/>
      <c r="H16" s="300"/>
      <c r="J16" s="24" t="s">
        <v>6</v>
      </c>
      <c r="K16" s="34">
        <f t="shared" si="1"/>
        <v>1.6382908366013069</v>
      </c>
      <c r="L16" s="35">
        <f t="shared" si="1"/>
        <v>0.24089816993464053</v>
      </c>
      <c r="M16" s="36">
        <f t="shared" si="1"/>
        <v>11.875726235294117</v>
      </c>
      <c r="N16" s="301"/>
      <c r="O16" s="300"/>
    </row>
    <row r="17" spans="1:16" ht="5.25" customHeight="1" thickBot="1"/>
    <row r="18" spans="1:16" s="42" customFormat="1">
      <c r="A18" s="86" t="s">
        <v>252</v>
      </c>
      <c r="D18" s="43" t="s">
        <v>128</v>
      </c>
      <c r="E18" s="43" t="s">
        <v>129</v>
      </c>
      <c r="F18" s="43" t="s">
        <v>130</v>
      </c>
      <c r="K18" s="43" t="s">
        <v>128</v>
      </c>
      <c r="L18" s="43" t="s">
        <v>129</v>
      </c>
      <c r="M18" s="43" t="s">
        <v>130</v>
      </c>
    </row>
    <row r="19" spans="1:16" ht="5.25" customHeight="1" thickBot="1"/>
    <row r="20" spans="1:16" ht="12.75" customHeight="1">
      <c r="C20" s="24" t="s">
        <v>9</v>
      </c>
      <c r="D20" s="28">
        <f t="shared" ref="D20:F23" si="2">IF(D27=0,"-",$D$34/D27)</f>
        <v>109.92669230058621</v>
      </c>
      <c r="E20" s="29">
        <f t="shared" si="2"/>
        <v>874.25447925472884</v>
      </c>
      <c r="F20" s="30">
        <f t="shared" si="2"/>
        <v>1.2614537392103669</v>
      </c>
      <c r="G20" s="305" t="s">
        <v>253</v>
      </c>
      <c r="H20" s="300"/>
      <c r="J20" s="24" t="s">
        <v>9</v>
      </c>
      <c r="K20" s="28">
        <f t="shared" ref="K20:M23" si="3">IF(K27=0,"-",$D$34/K27)</f>
        <v>186.87046196329956</v>
      </c>
      <c r="L20" s="29">
        <f t="shared" si="3"/>
        <v>1195.6644488124432</v>
      </c>
      <c r="M20" s="30">
        <f t="shared" si="3"/>
        <v>1.5641116009384246</v>
      </c>
      <c r="N20" s="305" t="s">
        <v>132</v>
      </c>
      <c r="O20" s="300"/>
    </row>
    <row r="21" spans="1:16">
      <c r="C21" s="24" t="s">
        <v>7</v>
      </c>
      <c r="D21" s="31">
        <f t="shared" si="2"/>
        <v>194.81810619700076</v>
      </c>
      <c r="E21" s="32">
        <f t="shared" si="2"/>
        <v>1331.4047939727079</v>
      </c>
      <c r="F21" s="33">
        <f t="shared" si="2"/>
        <v>2.5405641260649952</v>
      </c>
      <c r="G21" s="301"/>
      <c r="H21" s="300"/>
      <c r="J21" s="24" t="s">
        <v>7</v>
      </c>
      <c r="K21" s="31">
        <f t="shared" si="3"/>
        <v>298.3449970378274</v>
      </c>
      <c r="L21" s="32">
        <f t="shared" si="3"/>
        <v>1830.0358108105629</v>
      </c>
      <c r="M21" s="33">
        <f t="shared" si="3"/>
        <v>3.3347430020948465</v>
      </c>
      <c r="N21" s="301"/>
      <c r="O21" s="300"/>
    </row>
    <row r="22" spans="1:16">
      <c r="C22" s="24" t="s">
        <v>8</v>
      </c>
      <c r="D22" s="31">
        <f t="shared" si="2"/>
        <v>249.14444449119748</v>
      </c>
      <c r="E22" s="32">
        <f t="shared" si="2"/>
        <v>1449.0000015342353</v>
      </c>
      <c r="F22" s="33">
        <f t="shared" si="2"/>
        <v>3.7224992038271667</v>
      </c>
      <c r="G22" s="301"/>
      <c r="H22" s="300"/>
      <c r="J22" s="24" t="s">
        <v>8</v>
      </c>
      <c r="K22" s="31">
        <f t="shared" si="3"/>
        <v>275.47815254582531</v>
      </c>
      <c r="L22" s="32">
        <f t="shared" si="3"/>
        <v>1858.2609102121444</v>
      </c>
      <c r="M22" s="33">
        <f t="shared" si="3"/>
        <v>4.7220868042378257</v>
      </c>
      <c r="N22" s="301"/>
      <c r="O22" s="300"/>
    </row>
    <row r="23" spans="1:16" ht="13.5" thickBot="1">
      <c r="C23" s="24" t="s">
        <v>6</v>
      </c>
      <c r="D23" s="34">
        <f t="shared" si="2"/>
        <v>410.56412844911466</v>
      </c>
      <c r="E23" s="35">
        <f t="shared" si="2"/>
        <v>1996.3604131490058</v>
      </c>
      <c r="F23" s="36">
        <f t="shared" si="2"/>
        <v>68.222677525739911</v>
      </c>
      <c r="G23" s="301"/>
      <c r="H23" s="300"/>
      <c r="J23" s="24" t="s">
        <v>6</v>
      </c>
      <c r="K23" s="34">
        <f t="shared" si="3"/>
        <v>610.39223174472227</v>
      </c>
      <c r="L23" s="35">
        <f t="shared" si="3"/>
        <v>4151.131576762562</v>
      </c>
      <c r="M23" s="36">
        <f t="shared" si="3"/>
        <v>84.205376596510419</v>
      </c>
      <c r="N23" s="301"/>
      <c r="O23" s="300"/>
    </row>
    <row r="24" spans="1:16" ht="13.5" thickBot="1"/>
    <row r="25" spans="1:16" s="42" customFormat="1">
      <c r="A25" s="86" t="s">
        <v>255</v>
      </c>
      <c r="D25" s="43" t="s">
        <v>128</v>
      </c>
      <c r="E25" s="43" t="s">
        <v>129</v>
      </c>
      <c r="F25" s="43" t="s">
        <v>130</v>
      </c>
      <c r="H25" s="86"/>
      <c r="K25" s="43" t="s">
        <v>128</v>
      </c>
      <c r="L25" s="43" t="s">
        <v>129</v>
      </c>
      <c r="M25" s="43" t="s">
        <v>130</v>
      </c>
    </row>
    <row r="26" spans="1:16" ht="5.25" customHeight="1" thickBot="1"/>
    <row r="27" spans="1:16" ht="12.75" customHeight="1">
      <c r="C27" s="24" t="s">
        <v>9</v>
      </c>
      <c r="D27" s="208">
        <v>4.1755099729999996</v>
      </c>
      <c r="E27" s="209">
        <v>0.525018757</v>
      </c>
      <c r="F27" s="210">
        <v>363.86589989999999</v>
      </c>
      <c r="G27" s="305" t="str">
        <f>"EOS pounds removed per '"&amp;E3&amp;"' of practice per year"</f>
        <v>EOS pounds removed per 'acre treated' of practice per year</v>
      </c>
      <c r="H27" s="300"/>
      <c r="J27" s="24" t="s">
        <v>9</v>
      </c>
      <c r="K27" s="208">
        <v>2.456246938</v>
      </c>
      <c r="L27" s="209">
        <v>0.383886968</v>
      </c>
      <c r="M27" s="210">
        <v>293.45732090000001</v>
      </c>
      <c r="N27" s="305" t="str">
        <f>"delivered pounds removed per '"&amp;E3&amp;"' of practice per year"</f>
        <v>delivered pounds removed per 'acre treated' of practice per year</v>
      </c>
      <c r="O27" s="300"/>
      <c r="P27" s="205"/>
    </row>
    <row r="28" spans="1:16">
      <c r="C28" s="24" t="s">
        <v>7</v>
      </c>
      <c r="D28" s="211">
        <v>2.3560438449999999</v>
      </c>
      <c r="E28" s="212">
        <v>0.34474864599999999</v>
      </c>
      <c r="F28" s="213">
        <v>180.66853549999999</v>
      </c>
      <c r="G28" s="301"/>
      <c r="H28" s="300"/>
      <c r="J28" s="24" t="s">
        <v>7</v>
      </c>
      <c r="K28" s="211">
        <v>1.5384873370000001</v>
      </c>
      <c r="L28" s="212">
        <v>0.25081476400000002</v>
      </c>
      <c r="M28" s="213">
        <v>137.6417912</v>
      </c>
      <c r="N28" s="301"/>
      <c r="O28" s="300"/>
      <c r="P28" s="205"/>
    </row>
    <row r="29" spans="1:16">
      <c r="C29" s="24" t="s">
        <v>8</v>
      </c>
      <c r="D29" s="211">
        <v>1.842304776</v>
      </c>
      <c r="E29" s="212">
        <v>0.31677018600000001</v>
      </c>
      <c r="F29" s="213">
        <v>123.3042574</v>
      </c>
      <c r="G29" s="301"/>
      <c r="H29" s="300"/>
      <c r="J29" s="24" t="s">
        <v>8</v>
      </c>
      <c r="K29" s="211">
        <v>1.666193837</v>
      </c>
      <c r="L29" s="212">
        <v>0.24700514200000001</v>
      </c>
      <c r="M29" s="213">
        <v>97.202787459999996</v>
      </c>
      <c r="N29" s="301"/>
      <c r="O29" s="300"/>
      <c r="P29" s="205"/>
    </row>
    <row r="30" spans="1:16" ht="13.5" thickBot="1">
      <c r="C30" s="24" t="s">
        <v>6</v>
      </c>
      <c r="D30" s="214">
        <v>1.117973949</v>
      </c>
      <c r="E30" s="215">
        <v>0.22991840399999999</v>
      </c>
      <c r="F30" s="216">
        <v>6.7279681279999997</v>
      </c>
      <c r="G30" s="301"/>
      <c r="H30" s="300"/>
      <c r="J30" s="24" t="s">
        <v>6</v>
      </c>
      <c r="K30" s="214">
        <v>0.75197549399999997</v>
      </c>
      <c r="L30" s="215">
        <v>0.11057226000000001</v>
      </c>
      <c r="M30" s="216">
        <v>5.4509583419999998</v>
      </c>
      <c r="N30" s="301"/>
      <c r="O30" s="300"/>
      <c r="P30" s="205"/>
    </row>
    <row r="31" spans="1:16" ht="13.5" thickBot="1"/>
    <row r="32" spans="1:16" s="42" customFormat="1">
      <c r="A32" s="86" t="s">
        <v>1</v>
      </c>
    </row>
    <row r="33" spans="1:12" ht="5.25" customHeight="1" thickBot="1"/>
    <row r="34" spans="1:12" ht="13.5" thickBot="1">
      <c r="C34" s="24" t="s">
        <v>11</v>
      </c>
      <c r="D34" s="46">
        <f>-PMT(D39,D38,D36)+D37</f>
        <v>459</v>
      </c>
      <c r="E34" s="18" t="str">
        <f>"$ per '"&amp;E3&amp;"' of practice per year"</f>
        <v>$ per 'acre treated' of practice per year</v>
      </c>
      <c r="I34" s="82" t="s">
        <v>169</v>
      </c>
      <c r="J34" s="217" t="s">
        <v>160</v>
      </c>
      <c r="K34" s="218" t="s">
        <v>233</v>
      </c>
      <c r="L34" s="219" t="s">
        <v>165</v>
      </c>
    </row>
    <row r="35" spans="1:12" ht="5.25" customHeight="1" thickBot="1">
      <c r="C35" s="24"/>
      <c r="D35" s="47"/>
      <c r="E35" s="18"/>
      <c r="I35" s="78"/>
      <c r="J35" s="220"/>
      <c r="K35" s="220"/>
      <c r="L35" s="221"/>
    </row>
    <row r="36" spans="1:12">
      <c r="C36" s="24" t="s">
        <v>10</v>
      </c>
      <c r="D36" s="38">
        <f>L36</f>
        <v>5470</v>
      </c>
      <c r="E36" s="18" t="str">
        <f>"$ per '"&amp;E3&amp;"' of practice"</f>
        <v>$ per 'acre treated' of practice</v>
      </c>
      <c r="I36" s="78" t="s">
        <v>162</v>
      </c>
      <c r="J36" s="236">
        <v>4411</v>
      </c>
      <c r="K36" s="236">
        <v>6529</v>
      </c>
      <c r="L36" s="241">
        <f>AVERAGE(J36:K36)</f>
        <v>5470</v>
      </c>
    </row>
    <row r="37" spans="1:12">
      <c r="C37" s="24" t="s">
        <v>12</v>
      </c>
      <c r="D37" s="39">
        <f>L37</f>
        <v>185.5</v>
      </c>
      <c r="E37" s="18" t="str">
        <f>"$ per '"&amp;E3&amp;"' of practice per year"</f>
        <v>$ per 'acre treated' of practice per year</v>
      </c>
      <c r="I37" s="78" t="s">
        <v>161</v>
      </c>
      <c r="J37" s="236">
        <v>180</v>
      </c>
      <c r="K37" s="236">
        <v>191</v>
      </c>
      <c r="L37" s="241">
        <f>AVERAGE(J37:K37)</f>
        <v>185.5</v>
      </c>
    </row>
    <row r="38" spans="1:12">
      <c r="C38" s="24" t="s">
        <v>13</v>
      </c>
      <c r="D38" s="40">
        <f>L38</f>
        <v>20</v>
      </c>
      <c r="E38" s="18" t="s">
        <v>15</v>
      </c>
      <c r="I38" s="78" t="s">
        <v>163</v>
      </c>
      <c r="J38" s="245">
        <v>20</v>
      </c>
      <c r="K38" s="245">
        <v>20</v>
      </c>
      <c r="L38" s="247">
        <v>20</v>
      </c>
    </row>
    <row r="39" spans="1:12" ht="13.5" thickBot="1">
      <c r="C39" s="24" t="s">
        <v>14</v>
      </c>
      <c r="D39" s="41">
        <f>Summary!C35</f>
        <v>0</v>
      </c>
      <c r="E39" s="18" t="s">
        <v>16</v>
      </c>
      <c r="I39" s="80" t="s">
        <v>166</v>
      </c>
      <c r="J39" s="239">
        <f>J37+(J36/J38)</f>
        <v>400.55</v>
      </c>
      <c r="K39" s="239">
        <f>K37+(K36/K38)</f>
        <v>517.45000000000005</v>
      </c>
      <c r="L39" s="242">
        <f>L37+(L36/L38)</f>
        <v>459</v>
      </c>
    </row>
    <row r="40" spans="1:12">
      <c r="F40" s="234"/>
    </row>
    <row r="41" spans="1:12">
      <c r="I41" s="308" t="s">
        <v>196</v>
      </c>
      <c r="J41" s="308"/>
      <c r="K41" s="308"/>
      <c r="L41" s="308"/>
    </row>
    <row r="42" spans="1:12">
      <c r="I42" s="308"/>
      <c r="J42" s="308"/>
      <c r="K42" s="308"/>
      <c r="L42" s="308"/>
    </row>
    <row r="43" spans="1:12">
      <c r="I43" s="308"/>
      <c r="J43" s="308"/>
      <c r="K43" s="308"/>
      <c r="L43" s="308"/>
    </row>
    <row r="44" spans="1:12">
      <c r="I44" s="308"/>
      <c r="J44" s="308"/>
      <c r="K44" s="308"/>
      <c r="L44" s="308"/>
    </row>
    <row r="45" spans="1:12">
      <c r="I45" s="308"/>
      <c r="J45" s="308"/>
      <c r="K45" s="308"/>
      <c r="L45" s="308"/>
    </row>
    <row r="48" spans="1:12">
      <c r="A48" s="17" t="s">
        <v>297</v>
      </c>
    </row>
  </sheetData>
  <mergeCells count="8">
    <mergeCell ref="N27:O30"/>
    <mergeCell ref="A1:B1"/>
    <mergeCell ref="I41:L45"/>
    <mergeCell ref="G27:H30"/>
    <mergeCell ref="G20:H23"/>
    <mergeCell ref="G13:H16"/>
    <mergeCell ref="N13:O16"/>
    <mergeCell ref="N20:O23"/>
  </mergeCells>
  <phoneticPr fontId="1" type="noConversion"/>
  <hyperlinks>
    <hyperlink ref="A1" location="contents!A1" display="back to contents"/>
    <hyperlink ref="A1:B1" location="Summary!A1" display="← Summary"/>
  </hyperlink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72">
    <pageSetUpPr fitToPage="1"/>
  </sheetPr>
  <dimension ref="A1:V73"/>
  <sheetViews>
    <sheetView zoomScale="85" workbookViewId="0">
      <pane xSplit="4" ySplit="2" topLeftCell="E72" activePane="bottomRight" state="frozenSplit"/>
      <selection sqref="A1:B1"/>
      <selection pane="topRight" sqref="A1:B1"/>
      <selection pane="bottomLeft" sqref="A1:B1"/>
      <selection pane="bottomRight" activeCell="A73" sqref="A73"/>
    </sheetView>
  </sheetViews>
  <sheetFormatPr defaultRowHeight="12.75"/>
  <cols>
    <col min="1" max="1" width="7.7109375" style="1" bestFit="1" customWidth="1"/>
    <col min="2" max="2" width="9" style="1" customWidth="1"/>
    <col min="3" max="3" width="45.7109375" style="1" customWidth="1"/>
    <col min="4" max="4" width="21.140625" style="1" customWidth="1"/>
    <col min="5" max="5" width="4.28515625" style="17" customWidth="1"/>
    <col min="6" max="8" width="9.140625" style="59"/>
    <col min="9" max="9" width="20.28515625" style="1" bestFit="1" customWidth="1"/>
    <col min="10" max="10" width="4.28515625" style="17" customWidth="1"/>
    <col min="11" max="11" width="11.5703125" style="1" bestFit="1" customWidth="1"/>
    <col min="12" max="12" width="12.5703125" style="1" customWidth="1"/>
    <col min="13" max="13" width="4.28515625" style="17" customWidth="1"/>
    <col min="14" max="16" width="9.140625" style="59"/>
    <col min="17" max="17" width="8.85546875" style="1" bestFit="1" customWidth="1"/>
    <col min="18" max="18" width="4.28515625" style="17" customWidth="1"/>
    <col min="19" max="21" width="9.28515625" style="59" bestFit="1" customWidth="1"/>
    <col min="22" max="22" width="5.5703125" style="1" bestFit="1" customWidth="1"/>
    <col min="23" max="16384" width="9.140625" style="1"/>
  </cols>
  <sheetData>
    <row r="1" spans="1:22" ht="16.5" thickBot="1">
      <c r="A1" s="294" t="s">
        <v>215</v>
      </c>
      <c r="B1" s="295"/>
      <c r="C1" s="297"/>
      <c r="D1" s="297"/>
      <c r="F1" s="294" t="s">
        <v>192</v>
      </c>
      <c r="G1" s="295"/>
      <c r="H1" s="297"/>
      <c r="I1" s="297"/>
      <c r="K1" s="294" t="s">
        <v>193</v>
      </c>
      <c r="L1" s="295"/>
      <c r="N1" s="294" t="s">
        <v>259</v>
      </c>
      <c r="O1" s="295"/>
      <c r="P1" s="295"/>
      <c r="Q1" s="296"/>
      <c r="S1" s="294" t="s">
        <v>194</v>
      </c>
      <c r="T1" s="295"/>
      <c r="U1" s="295"/>
      <c r="V1" s="296"/>
    </row>
    <row r="2" spans="1:22" s="60" customFormat="1" ht="13.5" thickBot="1">
      <c r="A2" s="121" t="s">
        <v>0</v>
      </c>
      <c r="B2" s="122" t="s">
        <v>68</v>
      </c>
      <c r="C2" s="123" t="s">
        <v>71</v>
      </c>
      <c r="D2" s="124" t="s">
        <v>72</v>
      </c>
      <c r="E2" s="18"/>
      <c r="F2" s="117" t="s">
        <v>181</v>
      </c>
      <c r="G2" s="118" t="s">
        <v>182</v>
      </c>
      <c r="H2" s="118" t="s">
        <v>183</v>
      </c>
      <c r="I2" s="119" t="s">
        <v>79</v>
      </c>
      <c r="J2" s="18"/>
      <c r="K2" s="120" t="s">
        <v>191</v>
      </c>
      <c r="L2" s="119" t="s">
        <v>79</v>
      </c>
      <c r="M2" s="18"/>
      <c r="N2" s="117" t="s">
        <v>181</v>
      </c>
      <c r="O2" s="118" t="s">
        <v>182</v>
      </c>
      <c r="P2" s="118" t="s">
        <v>183</v>
      </c>
      <c r="Q2" s="119" t="s">
        <v>79</v>
      </c>
      <c r="R2" s="18"/>
      <c r="S2" s="117" t="s">
        <v>181</v>
      </c>
      <c r="T2" s="118" t="s">
        <v>182</v>
      </c>
      <c r="U2" s="118" t="s">
        <v>183</v>
      </c>
      <c r="V2" s="119" t="s">
        <v>79</v>
      </c>
    </row>
    <row r="3" spans="1:22" ht="33.75">
      <c r="A3" s="7">
        <v>1</v>
      </c>
      <c r="B3" s="11" t="s">
        <v>60</v>
      </c>
      <c r="C3" s="71" t="s">
        <v>115</v>
      </c>
      <c r="D3" s="125" t="s">
        <v>116</v>
      </c>
      <c r="F3" s="133">
        <f>'1'!F$30</f>
        <v>0</v>
      </c>
      <c r="G3" s="134">
        <f>'1'!F$29</f>
        <v>0</v>
      </c>
      <c r="H3" s="134">
        <f>'1'!F$27</f>
        <v>0</v>
      </c>
      <c r="I3" s="115" t="str">
        <f>"pounds of TSS reduced
per "&amp;'BMP info'!E2&amp;"
per year"</f>
        <v>pounds of TSS reduced
per animal unit
per year</v>
      </c>
      <c r="J3" s="83"/>
      <c r="K3" s="104">
        <f>'1'!D$34</f>
        <v>5</v>
      </c>
      <c r="L3" s="115" t="str">
        <f>"per "&amp;'BMP info'!E2&amp;"
per year"</f>
        <v>per animal unit
per year</v>
      </c>
      <c r="M3" s="83"/>
      <c r="N3" s="133">
        <f t="shared" ref="N3:N32" si="0">IF($K3=0,"-",1000*F3/$K3)</f>
        <v>0</v>
      </c>
      <c r="O3" s="134">
        <f t="shared" ref="O3:O32" si="1">IF($K3=0,"-",1000*G3/$K3)</f>
        <v>0</v>
      </c>
      <c r="P3" s="134">
        <f t="shared" ref="P3:P32" si="2">IF($K3=0,"-",1000*H3/$K3)</f>
        <v>0</v>
      </c>
      <c r="Q3" s="115" t="s">
        <v>137</v>
      </c>
      <c r="R3" s="83"/>
      <c r="S3" s="102" t="str">
        <f t="shared" ref="S3:S34" si="3">IF($K3*H3=0,"-",$K3/H3)</f>
        <v>-</v>
      </c>
      <c r="T3" s="142" t="str">
        <f t="shared" ref="T3:T34" si="4">IF($K3*G3=0,"-",$K3/G3)</f>
        <v>-</v>
      </c>
      <c r="U3" s="142" t="str">
        <f t="shared" ref="U3:U34" si="5">IF($K3*F3=0,"-",$K3/F3)</f>
        <v>-</v>
      </c>
      <c r="V3" s="115" t="s">
        <v>190</v>
      </c>
    </row>
    <row r="4" spans="1:22" ht="33.75">
      <c r="A4" s="8">
        <v>2</v>
      </c>
      <c r="B4" s="12" t="s">
        <v>60</v>
      </c>
      <c r="C4" s="71" t="s">
        <v>75</v>
      </c>
      <c r="D4" s="66" t="s">
        <v>76</v>
      </c>
      <c r="F4" s="133">
        <f>'2'!F$30</f>
        <v>0</v>
      </c>
      <c r="G4" s="134">
        <f>'2'!F$29</f>
        <v>0</v>
      </c>
      <c r="H4" s="134">
        <f>'2'!F$27</f>
        <v>0</v>
      </c>
      <c r="I4" s="115" t="str">
        <f>"pounds of TSS reduced
per "&amp;'BMP info'!E3&amp;"
per year"</f>
        <v>pounds of TSS reduced
per animal unit
per year</v>
      </c>
      <c r="J4" s="83"/>
      <c r="K4" s="104">
        <f>'2'!D$34</f>
        <v>23.2</v>
      </c>
      <c r="L4" s="115" t="str">
        <f>"per "&amp;'BMP info'!E3&amp;"
per year"</f>
        <v>per animal unit
per year</v>
      </c>
      <c r="M4" s="83"/>
      <c r="N4" s="133">
        <f t="shared" si="0"/>
        <v>0</v>
      </c>
      <c r="O4" s="134">
        <f t="shared" si="1"/>
        <v>0</v>
      </c>
      <c r="P4" s="134">
        <f t="shared" si="2"/>
        <v>0</v>
      </c>
      <c r="Q4" s="115" t="s">
        <v>137</v>
      </c>
      <c r="R4" s="83"/>
      <c r="S4" s="102" t="str">
        <f t="shared" si="3"/>
        <v>-</v>
      </c>
      <c r="T4" s="142" t="str">
        <f t="shared" si="4"/>
        <v>-</v>
      </c>
      <c r="U4" s="142" t="str">
        <f t="shared" si="5"/>
        <v>-</v>
      </c>
      <c r="V4" s="115" t="s">
        <v>190</v>
      </c>
    </row>
    <row r="5" spans="1:22" ht="33.75">
      <c r="A5" s="8">
        <v>3</v>
      </c>
      <c r="B5" s="12" t="s">
        <v>60</v>
      </c>
      <c r="C5" s="71" t="s">
        <v>77</v>
      </c>
      <c r="D5" s="66" t="s">
        <v>78</v>
      </c>
      <c r="F5" s="137">
        <f>'3'!F$30</f>
        <v>134</v>
      </c>
      <c r="G5" s="138">
        <f>'3'!F$29</f>
        <v>1258</v>
      </c>
      <c r="H5" s="138">
        <f>'3'!F$27</f>
        <v>2138</v>
      </c>
      <c r="I5" s="115" t="str">
        <f>"pounds of TSS reduced
per "&amp;'BMP info'!E4&amp;"
per year"</f>
        <v>pounds of TSS reduced
per acre
per year</v>
      </c>
      <c r="J5" s="83"/>
      <c r="K5" s="104">
        <f>'3'!D$34</f>
        <v>570</v>
      </c>
      <c r="L5" s="115" t="str">
        <f>"per "&amp;'BMP info'!E4&amp;"
per year"</f>
        <v>per acre
per year</v>
      </c>
      <c r="M5" s="83"/>
      <c r="N5" s="135">
        <f t="shared" si="0"/>
        <v>235.08771929824562</v>
      </c>
      <c r="O5" s="136">
        <f t="shared" si="1"/>
        <v>2207.0175438596493</v>
      </c>
      <c r="P5" s="136">
        <f t="shared" si="2"/>
        <v>3750.8771929824561</v>
      </c>
      <c r="Q5" s="115" t="s">
        <v>137</v>
      </c>
      <c r="R5" s="83"/>
      <c r="S5" s="103">
        <f t="shared" si="3"/>
        <v>0.26660430308699717</v>
      </c>
      <c r="T5" s="143">
        <f t="shared" si="4"/>
        <v>0.45310015898251194</v>
      </c>
      <c r="U5" s="143">
        <f t="shared" si="5"/>
        <v>4.2537313432835822</v>
      </c>
      <c r="V5" s="115" t="s">
        <v>190</v>
      </c>
    </row>
    <row r="6" spans="1:22" ht="33.75">
      <c r="A6" s="8">
        <v>4</v>
      </c>
      <c r="B6" s="12" t="s">
        <v>60</v>
      </c>
      <c r="C6" s="71" t="s">
        <v>98</v>
      </c>
      <c r="D6" s="66" t="s">
        <v>99</v>
      </c>
      <c r="F6" s="137">
        <f>'4'!F$30</f>
        <v>0</v>
      </c>
      <c r="G6" s="138">
        <f>'4'!F$29</f>
        <v>0</v>
      </c>
      <c r="H6" s="138">
        <f>'4'!F$27</f>
        <v>0</v>
      </c>
      <c r="I6" s="115" t="str">
        <f>"pounds of TSS reduced
per "&amp;'BMP info'!E5&amp;"
per year"</f>
        <v>pounds of TSS reduced
per acre
per year</v>
      </c>
      <c r="J6" s="83"/>
      <c r="K6" s="104">
        <f>'4'!D$34</f>
        <v>500</v>
      </c>
      <c r="L6" s="115" t="str">
        <f>"per "&amp;'BMP info'!E5&amp;"
per year"</f>
        <v>per acre
per year</v>
      </c>
      <c r="M6" s="83"/>
      <c r="N6" s="137">
        <f t="shared" si="0"/>
        <v>0</v>
      </c>
      <c r="O6" s="138">
        <f t="shared" si="1"/>
        <v>0</v>
      </c>
      <c r="P6" s="138">
        <f t="shared" si="2"/>
        <v>0</v>
      </c>
      <c r="Q6" s="115" t="s">
        <v>137</v>
      </c>
      <c r="R6" s="83"/>
      <c r="S6" s="104" t="str">
        <f t="shared" si="3"/>
        <v>-</v>
      </c>
      <c r="T6" s="144" t="str">
        <f t="shared" si="4"/>
        <v>-</v>
      </c>
      <c r="U6" s="144" t="str">
        <f t="shared" si="5"/>
        <v>-</v>
      </c>
      <c r="V6" s="115" t="s">
        <v>190</v>
      </c>
    </row>
    <row r="7" spans="1:22" ht="33.75">
      <c r="A7" s="8">
        <v>5</v>
      </c>
      <c r="B7" s="12" t="s">
        <v>60</v>
      </c>
      <c r="C7" s="71" t="s">
        <v>73</v>
      </c>
      <c r="D7" s="66" t="s">
        <v>74</v>
      </c>
      <c r="F7" s="137">
        <f>'5'!F$30</f>
        <v>75</v>
      </c>
      <c r="G7" s="138">
        <f>'5'!F$29</f>
        <v>187</v>
      </c>
      <c r="H7" s="138">
        <f>'5'!F$27</f>
        <v>296</v>
      </c>
      <c r="I7" s="115" t="str">
        <f>"pounds of TSS reduced
per "&amp;'BMP info'!E6&amp;"
per year"</f>
        <v>pounds of TSS reduced
per acre
per year</v>
      </c>
      <c r="J7" s="83"/>
      <c r="K7" s="104">
        <f>'5'!D$34</f>
        <v>18.100000000000001</v>
      </c>
      <c r="L7" s="115" t="str">
        <f>"per "&amp;'BMP info'!E6&amp;"
per year"</f>
        <v>per acre
per year</v>
      </c>
      <c r="M7" s="83"/>
      <c r="N7" s="137">
        <f t="shared" si="0"/>
        <v>4143.6464088397788</v>
      </c>
      <c r="O7" s="138">
        <f t="shared" si="1"/>
        <v>10331.491712707182</v>
      </c>
      <c r="P7" s="138">
        <f t="shared" si="2"/>
        <v>16353.591160220993</v>
      </c>
      <c r="Q7" s="115" t="s">
        <v>137</v>
      </c>
      <c r="R7" s="83"/>
      <c r="S7" s="104">
        <f t="shared" si="3"/>
        <v>6.1148648648648656E-2</v>
      </c>
      <c r="T7" s="144">
        <f t="shared" si="4"/>
        <v>9.6791443850267389E-2</v>
      </c>
      <c r="U7" s="144">
        <f t="shared" si="5"/>
        <v>0.24133333333333334</v>
      </c>
      <c r="V7" s="115" t="s">
        <v>190</v>
      </c>
    </row>
    <row r="8" spans="1:22" ht="33.75">
      <c r="A8" s="8">
        <v>6</v>
      </c>
      <c r="B8" s="12" t="s">
        <v>60</v>
      </c>
      <c r="C8" s="71" t="s">
        <v>94</v>
      </c>
      <c r="D8" s="66" t="s">
        <v>95</v>
      </c>
      <c r="F8" s="137">
        <f>'6'!F$30</f>
        <v>12</v>
      </c>
      <c r="G8" s="138">
        <f>'6'!F$29</f>
        <v>22</v>
      </c>
      <c r="H8" s="138">
        <f>'6'!F$27</f>
        <v>96</v>
      </c>
      <c r="I8" s="115" t="str">
        <f>"pounds of TSS reduced
per "&amp;'BMP info'!E7&amp;"
per year"</f>
        <v>pounds of TSS reduced
per acre
per year</v>
      </c>
      <c r="J8" s="83"/>
      <c r="K8" s="104">
        <f>'6'!D$34</f>
        <v>350</v>
      </c>
      <c r="L8" s="115" t="str">
        <f>"per "&amp;'BMP info'!E7&amp;"
per year"</f>
        <v>per acre
per year</v>
      </c>
      <c r="M8" s="83"/>
      <c r="N8" s="137">
        <f t="shared" si="0"/>
        <v>34.285714285714285</v>
      </c>
      <c r="O8" s="138">
        <f t="shared" si="1"/>
        <v>62.857142857142854</v>
      </c>
      <c r="P8" s="138">
        <f t="shared" si="2"/>
        <v>274.28571428571428</v>
      </c>
      <c r="Q8" s="115" t="s">
        <v>137</v>
      </c>
      <c r="R8" s="83"/>
      <c r="S8" s="104">
        <f t="shared" si="3"/>
        <v>3.6458333333333335</v>
      </c>
      <c r="T8" s="144">
        <f t="shared" si="4"/>
        <v>15.909090909090908</v>
      </c>
      <c r="U8" s="144">
        <f t="shared" si="5"/>
        <v>29.166666666666668</v>
      </c>
      <c r="V8" s="115" t="s">
        <v>190</v>
      </c>
    </row>
    <row r="9" spans="1:22" ht="33.75">
      <c r="A9" s="8">
        <v>7</v>
      </c>
      <c r="B9" s="12" t="s">
        <v>60</v>
      </c>
      <c r="C9" s="71" t="s">
        <v>123</v>
      </c>
      <c r="D9" s="66" t="s">
        <v>124</v>
      </c>
      <c r="F9" s="137">
        <f>'7'!F$30</f>
        <v>8</v>
      </c>
      <c r="G9" s="138">
        <f>'7'!F$29</f>
        <v>29</v>
      </c>
      <c r="H9" s="138">
        <f>'7'!F$27</f>
        <v>133</v>
      </c>
      <c r="I9" s="115" t="str">
        <f>"pounds of TSS reduced
per "&amp;'BMP info'!E8&amp;"
per year"</f>
        <v>pounds of TSS reduced
per acre
per year</v>
      </c>
      <c r="J9" s="83"/>
      <c r="K9" s="103">
        <f>'7'!D$34</f>
        <v>45</v>
      </c>
      <c r="L9" s="115" t="str">
        <f>"per "&amp;'BMP info'!E8&amp;"
per year"</f>
        <v>per acre
per year</v>
      </c>
      <c r="M9" s="83"/>
      <c r="N9" s="135">
        <f t="shared" si="0"/>
        <v>177.77777777777777</v>
      </c>
      <c r="O9" s="136">
        <f t="shared" si="1"/>
        <v>644.44444444444446</v>
      </c>
      <c r="P9" s="136">
        <f t="shared" si="2"/>
        <v>2955.5555555555557</v>
      </c>
      <c r="Q9" s="115" t="s">
        <v>137</v>
      </c>
      <c r="R9" s="83"/>
      <c r="S9" s="103">
        <f t="shared" si="3"/>
        <v>0.33834586466165412</v>
      </c>
      <c r="T9" s="143">
        <f t="shared" si="4"/>
        <v>1.5517241379310345</v>
      </c>
      <c r="U9" s="143">
        <f t="shared" si="5"/>
        <v>5.625</v>
      </c>
      <c r="V9" s="115" t="s">
        <v>190</v>
      </c>
    </row>
    <row r="10" spans="1:22" ht="33.75">
      <c r="A10" s="8">
        <v>8</v>
      </c>
      <c r="B10" s="12" t="s">
        <v>60</v>
      </c>
      <c r="C10" s="71" t="s">
        <v>188</v>
      </c>
      <c r="D10" s="66" t="s">
        <v>187</v>
      </c>
      <c r="F10" s="137">
        <f>'8'!F$30</f>
        <v>9</v>
      </c>
      <c r="G10" s="138">
        <f>'8'!F$29</f>
        <v>26</v>
      </c>
      <c r="H10" s="138">
        <f>'8'!F$27</f>
        <v>332</v>
      </c>
      <c r="I10" s="115" t="str">
        <f>"pounds of TSS reduced
per "&amp;'BMP info'!E9&amp;"
per year"</f>
        <v>pounds of TSS reduced
per acre
per year</v>
      </c>
      <c r="J10" s="83"/>
      <c r="K10" s="103">
        <f>'8'!D$34</f>
        <v>23</v>
      </c>
      <c r="L10" s="115" t="str">
        <f>"per "&amp;'BMP info'!E9&amp;"
per year"</f>
        <v>per acre
per year</v>
      </c>
      <c r="M10" s="83"/>
      <c r="N10" s="135">
        <f t="shared" si="0"/>
        <v>391.30434782608694</v>
      </c>
      <c r="O10" s="136">
        <f t="shared" si="1"/>
        <v>1130.4347826086957</v>
      </c>
      <c r="P10" s="136">
        <f t="shared" si="2"/>
        <v>14434.782608695652</v>
      </c>
      <c r="Q10" s="115" t="s">
        <v>137</v>
      </c>
      <c r="R10" s="83"/>
      <c r="S10" s="103">
        <f t="shared" si="3"/>
        <v>6.9277108433734941E-2</v>
      </c>
      <c r="T10" s="143">
        <f t="shared" si="4"/>
        <v>0.88461538461538458</v>
      </c>
      <c r="U10" s="143">
        <f t="shared" si="5"/>
        <v>2.5555555555555554</v>
      </c>
      <c r="V10" s="115" t="s">
        <v>190</v>
      </c>
    </row>
    <row r="11" spans="1:22" ht="33.75">
      <c r="A11" s="8">
        <v>9</v>
      </c>
      <c r="B11" s="12" t="s">
        <v>60</v>
      </c>
      <c r="C11" s="71" t="s">
        <v>80</v>
      </c>
      <c r="D11" s="66" t="s">
        <v>81</v>
      </c>
      <c r="F11" s="137">
        <f>'9'!F$30</f>
        <v>0</v>
      </c>
      <c r="G11" s="138">
        <f>'9'!F$29</f>
        <v>4</v>
      </c>
      <c r="H11" s="138">
        <f>'9'!F$27</f>
        <v>88</v>
      </c>
      <c r="I11" s="115" t="str">
        <f>"pounds of TSS reduced
per "&amp;'BMP info'!E10&amp;"
per year"</f>
        <v>pounds of TSS reduced
per acre
per year</v>
      </c>
      <c r="J11" s="83"/>
      <c r="K11" s="103">
        <f>'9'!D$34</f>
        <v>50.42</v>
      </c>
      <c r="L11" s="115" t="str">
        <f>"per "&amp;'BMP info'!E10&amp;"
per year"</f>
        <v>per acre
per year</v>
      </c>
      <c r="M11" s="83"/>
      <c r="N11" s="135">
        <f t="shared" si="0"/>
        <v>0</v>
      </c>
      <c r="O11" s="136">
        <f t="shared" si="1"/>
        <v>79.333597778659254</v>
      </c>
      <c r="P11" s="136">
        <f t="shared" si="2"/>
        <v>1745.3391511305038</v>
      </c>
      <c r="Q11" s="115" t="s">
        <v>137</v>
      </c>
      <c r="R11" s="83"/>
      <c r="S11" s="103">
        <f t="shared" si="3"/>
        <v>0.57295454545454549</v>
      </c>
      <c r="T11" s="143">
        <f t="shared" si="4"/>
        <v>12.605</v>
      </c>
      <c r="U11" s="143" t="str">
        <f t="shared" si="5"/>
        <v>-</v>
      </c>
      <c r="V11" s="115" t="s">
        <v>190</v>
      </c>
    </row>
    <row r="12" spans="1:22" ht="33.75">
      <c r="A12" s="8">
        <v>10</v>
      </c>
      <c r="B12" s="12" t="s">
        <v>60</v>
      </c>
      <c r="C12" s="71" t="s">
        <v>82</v>
      </c>
      <c r="D12" s="66" t="s">
        <v>83</v>
      </c>
      <c r="F12" s="137">
        <f>'10'!F$30</f>
        <v>0</v>
      </c>
      <c r="G12" s="138">
        <f>'10'!F$29</f>
        <v>0</v>
      </c>
      <c r="H12" s="138">
        <f>'10'!F$27</f>
        <v>0</v>
      </c>
      <c r="I12" s="115" t="str">
        <f>"pounds of TSS reduced
per "&amp;'BMP info'!E11&amp;"
per year"</f>
        <v>pounds of TSS reduced
per acre
per year</v>
      </c>
      <c r="J12" s="83"/>
      <c r="K12" s="103">
        <f>'10'!D$34</f>
        <v>960</v>
      </c>
      <c r="L12" s="115" t="str">
        <f>"per "&amp;'BMP info'!E11&amp;"
per year"</f>
        <v>per acre
per year</v>
      </c>
      <c r="M12" s="83"/>
      <c r="N12" s="135">
        <f t="shared" si="0"/>
        <v>0</v>
      </c>
      <c r="O12" s="136">
        <f t="shared" si="1"/>
        <v>0</v>
      </c>
      <c r="P12" s="136">
        <f t="shared" si="2"/>
        <v>0</v>
      </c>
      <c r="Q12" s="115" t="s">
        <v>137</v>
      </c>
      <c r="R12" s="83"/>
      <c r="S12" s="103" t="str">
        <f t="shared" si="3"/>
        <v>-</v>
      </c>
      <c r="T12" s="143" t="str">
        <f t="shared" si="4"/>
        <v>-</v>
      </c>
      <c r="U12" s="143" t="str">
        <f t="shared" si="5"/>
        <v>-</v>
      </c>
      <c r="V12" s="115" t="s">
        <v>190</v>
      </c>
    </row>
    <row r="13" spans="1:22" ht="33.75">
      <c r="A13" s="8">
        <v>11</v>
      </c>
      <c r="B13" s="12" t="s">
        <v>60</v>
      </c>
      <c r="C13" s="71" t="s">
        <v>86</v>
      </c>
      <c r="D13" s="66" t="s">
        <v>87</v>
      </c>
      <c r="F13" s="137">
        <f>'11'!F$30</f>
        <v>1</v>
      </c>
      <c r="G13" s="138">
        <f>'11'!F$29</f>
        <v>2</v>
      </c>
      <c r="H13" s="138">
        <f>'11'!F$27</f>
        <v>4</v>
      </c>
      <c r="I13" s="115" t="str">
        <f>"pounds of TSS reduced
per "&amp;'BMP info'!E12&amp;"
per year"</f>
        <v>pounds of TSS reduced
per acre
per year</v>
      </c>
      <c r="J13" s="83"/>
      <c r="K13" s="103">
        <f>'11'!D$34</f>
        <v>13.712</v>
      </c>
      <c r="L13" s="115" t="str">
        <f>"per "&amp;'BMP info'!E12&amp;"
per year"</f>
        <v>per acre
per year</v>
      </c>
      <c r="M13" s="83"/>
      <c r="N13" s="135">
        <f t="shared" si="0"/>
        <v>72.92882147024504</v>
      </c>
      <c r="O13" s="136">
        <f t="shared" si="1"/>
        <v>145.85764294049008</v>
      </c>
      <c r="P13" s="136">
        <f t="shared" si="2"/>
        <v>291.71528588098016</v>
      </c>
      <c r="Q13" s="115" t="s">
        <v>137</v>
      </c>
      <c r="R13" s="83"/>
      <c r="S13" s="103">
        <f t="shared" si="3"/>
        <v>3.4279999999999999</v>
      </c>
      <c r="T13" s="143">
        <f t="shared" si="4"/>
        <v>6.8559999999999999</v>
      </c>
      <c r="U13" s="143">
        <f t="shared" si="5"/>
        <v>13.712</v>
      </c>
      <c r="V13" s="115" t="s">
        <v>190</v>
      </c>
    </row>
    <row r="14" spans="1:22" ht="33.75">
      <c r="A14" s="8">
        <v>12</v>
      </c>
      <c r="B14" s="12" t="s">
        <v>60</v>
      </c>
      <c r="C14" s="71" t="s">
        <v>65</v>
      </c>
      <c r="D14" s="66" t="s">
        <v>125</v>
      </c>
      <c r="F14" s="137">
        <f>'12'!F$30</f>
        <v>0</v>
      </c>
      <c r="G14" s="138">
        <f>'12'!F$29</f>
        <v>0</v>
      </c>
      <c r="H14" s="138">
        <f>'12'!F$27</f>
        <v>0</v>
      </c>
      <c r="I14" s="115" t="str">
        <f>"pounds of TSS reduced
per "&amp;'BMP info'!E13&amp;"
per year"</f>
        <v>pounds of TSS reduced
per acre
per year</v>
      </c>
      <c r="J14" s="83"/>
      <c r="K14" s="103">
        <f>'12'!D$34</f>
        <v>125</v>
      </c>
      <c r="L14" s="115" t="str">
        <f>"per "&amp;'BMP info'!E13&amp;"
per year"</f>
        <v>per acre
per year</v>
      </c>
      <c r="M14" s="83"/>
      <c r="N14" s="135">
        <f t="shared" si="0"/>
        <v>0</v>
      </c>
      <c r="O14" s="136">
        <f t="shared" si="1"/>
        <v>0</v>
      </c>
      <c r="P14" s="136">
        <f t="shared" si="2"/>
        <v>0</v>
      </c>
      <c r="Q14" s="115" t="s">
        <v>137</v>
      </c>
      <c r="R14" s="83"/>
      <c r="S14" s="103" t="str">
        <f t="shared" si="3"/>
        <v>-</v>
      </c>
      <c r="T14" s="143" t="str">
        <f t="shared" si="4"/>
        <v>-</v>
      </c>
      <c r="U14" s="143" t="str">
        <f t="shared" si="5"/>
        <v>-</v>
      </c>
      <c r="V14" s="115" t="s">
        <v>190</v>
      </c>
    </row>
    <row r="15" spans="1:22" ht="33.75">
      <c r="A15" s="8">
        <v>13</v>
      </c>
      <c r="B15" s="12" t="s">
        <v>60</v>
      </c>
      <c r="C15" s="71" t="s">
        <v>88</v>
      </c>
      <c r="D15" s="66" t="s">
        <v>89</v>
      </c>
      <c r="F15" s="137">
        <f>'13'!F$30</f>
        <v>1</v>
      </c>
      <c r="G15" s="138">
        <f>'13'!F$29</f>
        <v>2</v>
      </c>
      <c r="H15" s="138">
        <f>'13'!F$27</f>
        <v>4</v>
      </c>
      <c r="I15" s="115" t="str">
        <f>"pounds of TSS reduced
per "&amp;'BMP info'!E14&amp;"
per year"</f>
        <v>pounds of TSS reduced
per acre
per year</v>
      </c>
      <c r="J15" s="83"/>
      <c r="K15" s="103">
        <f>'13'!D$34</f>
        <v>10</v>
      </c>
      <c r="L15" s="115" t="str">
        <f>"per "&amp;'BMP info'!E14&amp;"
per year"</f>
        <v>per acre
per year</v>
      </c>
      <c r="M15" s="83"/>
      <c r="N15" s="135">
        <f t="shared" si="0"/>
        <v>100</v>
      </c>
      <c r="O15" s="136">
        <f t="shared" si="1"/>
        <v>200</v>
      </c>
      <c r="P15" s="136">
        <f t="shared" si="2"/>
        <v>400</v>
      </c>
      <c r="Q15" s="115" t="s">
        <v>137</v>
      </c>
      <c r="R15" s="83"/>
      <c r="S15" s="103">
        <f t="shared" si="3"/>
        <v>2.5</v>
      </c>
      <c r="T15" s="143">
        <f t="shared" si="4"/>
        <v>5</v>
      </c>
      <c r="U15" s="143">
        <f t="shared" si="5"/>
        <v>10</v>
      </c>
      <c r="V15" s="115" t="s">
        <v>190</v>
      </c>
    </row>
    <row r="16" spans="1:22" ht="33.75">
      <c r="A16" s="8">
        <v>14</v>
      </c>
      <c r="B16" s="12" t="s">
        <v>60</v>
      </c>
      <c r="C16" s="71" t="s">
        <v>90</v>
      </c>
      <c r="D16" s="66" t="s">
        <v>91</v>
      </c>
      <c r="F16" s="137">
        <f>'14'!F$30</f>
        <v>159</v>
      </c>
      <c r="G16" s="138">
        <f>'14'!F$29</f>
        <v>617</v>
      </c>
      <c r="H16" s="138">
        <f>'14'!F$27</f>
        <v>2912</v>
      </c>
      <c r="I16" s="115" t="str">
        <f>"pounds of TSS reduced
per "&amp;'BMP info'!E15&amp;"
per year"</f>
        <v>pounds of TSS reduced
per acre
per year</v>
      </c>
      <c r="J16" s="83"/>
      <c r="K16" s="103">
        <f>'14'!D$34</f>
        <v>353</v>
      </c>
      <c r="L16" s="115" t="str">
        <f>"per "&amp;'BMP info'!E15&amp;"
per year"</f>
        <v>per acre
per year</v>
      </c>
      <c r="M16" s="83"/>
      <c r="N16" s="135">
        <f t="shared" si="0"/>
        <v>450.42492917847028</v>
      </c>
      <c r="O16" s="136">
        <f t="shared" si="1"/>
        <v>1747.8753541076487</v>
      </c>
      <c r="P16" s="136">
        <f t="shared" si="2"/>
        <v>8249.2917847025492</v>
      </c>
      <c r="Q16" s="115" t="s">
        <v>137</v>
      </c>
      <c r="R16" s="83"/>
      <c r="S16" s="103">
        <f t="shared" si="3"/>
        <v>0.12122252747252747</v>
      </c>
      <c r="T16" s="143">
        <f t="shared" si="4"/>
        <v>0.57212317666126422</v>
      </c>
      <c r="U16" s="143">
        <f t="shared" si="5"/>
        <v>2.2201257861635222</v>
      </c>
      <c r="V16" s="115" t="s">
        <v>190</v>
      </c>
    </row>
    <row r="17" spans="1:22" ht="33.75">
      <c r="A17" s="8">
        <v>15</v>
      </c>
      <c r="B17" s="12" t="s">
        <v>60</v>
      </c>
      <c r="C17" s="71" t="s">
        <v>92</v>
      </c>
      <c r="D17" s="66" t="s">
        <v>93</v>
      </c>
      <c r="F17" s="137">
        <f>'15'!F$30</f>
        <v>138</v>
      </c>
      <c r="G17" s="138">
        <f>'15'!F$29</f>
        <v>211</v>
      </c>
      <c r="H17" s="138">
        <f>'15'!F$27</f>
        <v>1054</v>
      </c>
      <c r="I17" s="115" t="str">
        <f>"pounds of TSS reduced
per "&amp;'BMP info'!E16&amp;"
per year"</f>
        <v>pounds of TSS reduced
per acre
per year</v>
      </c>
      <c r="J17" s="83"/>
      <c r="K17" s="103">
        <f>'15'!D$34</f>
        <v>210.56666666666666</v>
      </c>
      <c r="L17" s="115" t="str">
        <f>"per "&amp;'BMP info'!E16&amp;"
per year"</f>
        <v>per acre
per year</v>
      </c>
      <c r="M17" s="83"/>
      <c r="N17" s="135">
        <f t="shared" si="0"/>
        <v>655.37438657590633</v>
      </c>
      <c r="O17" s="136">
        <f t="shared" si="1"/>
        <v>1002.0579388950451</v>
      </c>
      <c r="P17" s="136">
        <f t="shared" si="2"/>
        <v>5005.5406047174292</v>
      </c>
      <c r="Q17" s="115" t="s">
        <v>137</v>
      </c>
      <c r="R17" s="83"/>
      <c r="S17" s="103">
        <f t="shared" si="3"/>
        <v>0.19977862112586969</v>
      </c>
      <c r="T17" s="143">
        <f t="shared" si="4"/>
        <v>0.99794628751974723</v>
      </c>
      <c r="U17" s="143">
        <f t="shared" si="5"/>
        <v>1.5258454106280193</v>
      </c>
      <c r="V17" s="115" t="s">
        <v>190</v>
      </c>
    </row>
    <row r="18" spans="1:22" ht="33.75">
      <c r="A18" s="8">
        <v>16</v>
      </c>
      <c r="B18" s="12" t="s">
        <v>60</v>
      </c>
      <c r="C18" s="71" t="s">
        <v>96</v>
      </c>
      <c r="D18" s="66" t="s">
        <v>97</v>
      </c>
      <c r="F18" s="137">
        <f>'16'!F$30</f>
        <v>1</v>
      </c>
      <c r="G18" s="138">
        <f>'16'!F$29</f>
        <v>17</v>
      </c>
      <c r="H18" s="138">
        <f>'16'!F$27</f>
        <v>323</v>
      </c>
      <c r="I18" s="115" t="str">
        <f>"pounds of TSS reduced
per "&amp;'BMP info'!E17&amp;"
per year"</f>
        <v>pounds of TSS reduced
per acre
per year</v>
      </c>
      <c r="J18" s="83"/>
      <c r="K18" s="103">
        <f>'16'!D$34</f>
        <v>600</v>
      </c>
      <c r="L18" s="115" t="str">
        <f>"per "&amp;'BMP info'!E17&amp;"
per year"</f>
        <v>per acre
per year</v>
      </c>
      <c r="M18" s="83"/>
      <c r="N18" s="135">
        <f t="shared" si="0"/>
        <v>1.6666666666666667</v>
      </c>
      <c r="O18" s="136">
        <f t="shared" si="1"/>
        <v>28.333333333333332</v>
      </c>
      <c r="P18" s="136">
        <f t="shared" si="2"/>
        <v>538.33333333333337</v>
      </c>
      <c r="Q18" s="115" t="s">
        <v>137</v>
      </c>
      <c r="R18" s="83"/>
      <c r="S18" s="103">
        <f t="shared" si="3"/>
        <v>1.8575851393188854</v>
      </c>
      <c r="T18" s="143">
        <f t="shared" si="4"/>
        <v>35.294117647058826</v>
      </c>
      <c r="U18" s="143">
        <f t="shared" si="5"/>
        <v>600</v>
      </c>
      <c r="V18" s="115" t="s">
        <v>190</v>
      </c>
    </row>
    <row r="19" spans="1:22" ht="33.75">
      <c r="A19" s="8">
        <v>17</v>
      </c>
      <c r="B19" s="12" t="s">
        <v>60</v>
      </c>
      <c r="C19" s="71" t="s">
        <v>100</v>
      </c>
      <c r="D19" s="66" t="s">
        <v>101</v>
      </c>
      <c r="F19" s="137">
        <f>'17'!F$30</f>
        <v>50</v>
      </c>
      <c r="G19" s="138">
        <f>'17'!F$29</f>
        <v>325</v>
      </c>
      <c r="H19" s="138">
        <f>'17'!F$27</f>
        <v>964</v>
      </c>
      <c r="I19" s="115" t="str">
        <f>"pounds of TSS reduced
per "&amp;'BMP info'!E18&amp;"
per year"</f>
        <v>pounds of TSS reduced
per acre
per year</v>
      </c>
      <c r="J19" s="83"/>
      <c r="K19" s="103">
        <f>'17'!D$34</f>
        <v>158.2175</v>
      </c>
      <c r="L19" s="115" t="str">
        <f>"per "&amp;'BMP info'!E18&amp;"
per year"</f>
        <v>per acre
per year</v>
      </c>
      <c r="M19" s="83"/>
      <c r="N19" s="135">
        <f t="shared" si="0"/>
        <v>316.02066775167094</v>
      </c>
      <c r="O19" s="136">
        <f t="shared" si="1"/>
        <v>2054.1343403858614</v>
      </c>
      <c r="P19" s="136">
        <f t="shared" si="2"/>
        <v>6092.8784742522157</v>
      </c>
      <c r="Q19" s="115" t="s">
        <v>137</v>
      </c>
      <c r="R19" s="83"/>
      <c r="S19" s="103">
        <f t="shared" si="3"/>
        <v>0.16412603734439835</v>
      </c>
      <c r="T19" s="143">
        <f t="shared" si="4"/>
        <v>0.48682307692307691</v>
      </c>
      <c r="U19" s="143">
        <f t="shared" si="5"/>
        <v>3.1643500000000002</v>
      </c>
      <c r="V19" s="115" t="s">
        <v>190</v>
      </c>
    </row>
    <row r="20" spans="1:22" ht="33.75">
      <c r="A20" s="8">
        <v>18</v>
      </c>
      <c r="B20" s="12" t="s">
        <v>60</v>
      </c>
      <c r="C20" s="71" t="s">
        <v>102</v>
      </c>
      <c r="D20" s="66" t="s">
        <v>103</v>
      </c>
      <c r="F20" s="137">
        <f>'18'!F$30</f>
        <v>140</v>
      </c>
      <c r="G20" s="138">
        <f>'18'!F$29</f>
        <v>469</v>
      </c>
      <c r="H20" s="138">
        <f>'18'!F$27</f>
        <v>1788</v>
      </c>
      <c r="I20" s="115" t="str">
        <f>"pounds of TSS reduced
per "&amp;'BMP info'!E19&amp;"
per year"</f>
        <v>pounds of TSS reduced
per acre
per year</v>
      </c>
      <c r="J20" s="83"/>
      <c r="K20" s="103">
        <f>'18'!D$34</f>
        <v>158.2175</v>
      </c>
      <c r="L20" s="115" t="str">
        <f>"per "&amp;'BMP info'!E19&amp;"
per year"</f>
        <v>per acre
per year</v>
      </c>
      <c r="M20" s="83"/>
      <c r="N20" s="135">
        <f t="shared" si="0"/>
        <v>884.85786970467871</v>
      </c>
      <c r="O20" s="136">
        <f t="shared" si="1"/>
        <v>2964.2738635106734</v>
      </c>
      <c r="P20" s="136">
        <f t="shared" si="2"/>
        <v>11300.899078799754</v>
      </c>
      <c r="Q20" s="115" t="s">
        <v>137</v>
      </c>
      <c r="R20" s="83"/>
      <c r="S20" s="103">
        <f t="shared" si="3"/>
        <v>8.848853467561521E-2</v>
      </c>
      <c r="T20" s="143">
        <f t="shared" si="4"/>
        <v>0.33735074626865674</v>
      </c>
      <c r="U20" s="143">
        <f t="shared" si="5"/>
        <v>1.130125</v>
      </c>
      <c r="V20" s="115" t="s">
        <v>190</v>
      </c>
    </row>
    <row r="21" spans="1:22" ht="33.75">
      <c r="A21" s="8">
        <v>19</v>
      </c>
      <c r="B21" s="12" t="s">
        <v>60</v>
      </c>
      <c r="C21" s="71" t="s">
        <v>256</v>
      </c>
      <c r="D21" s="66" t="s">
        <v>85</v>
      </c>
      <c r="F21" s="137">
        <f>'19'!F$30</f>
        <v>0</v>
      </c>
      <c r="G21" s="138">
        <f>'19'!F$29</f>
        <v>0</v>
      </c>
      <c r="H21" s="138">
        <f>'19'!F$27</f>
        <v>0</v>
      </c>
      <c r="I21" s="115" t="str">
        <f>"pounds of TSS reduced
per "&amp;'BMP info'!E20&amp;"
per year"</f>
        <v>pounds of TSS reduced
per acre
per year</v>
      </c>
      <c r="J21" s="83"/>
      <c r="K21" s="103">
        <f>'19'!D$34</f>
        <v>56</v>
      </c>
      <c r="L21" s="115" t="str">
        <f>"per "&amp;'BMP info'!E20&amp;"
per year"</f>
        <v>per acre
per year</v>
      </c>
      <c r="M21" s="83"/>
      <c r="N21" s="135">
        <f t="shared" si="0"/>
        <v>0</v>
      </c>
      <c r="O21" s="136">
        <f t="shared" si="1"/>
        <v>0</v>
      </c>
      <c r="P21" s="136">
        <f t="shared" si="2"/>
        <v>0</v>
      </c>
      <c r="Q21" s="115" t="s">
        <v>137</v>
      </c>
      <c r="R21" s="83"/>
      <c r="S21" s="103" t="str">
        <f t="shared" si="3"/>
        <v>-</v>
      </c>
      <c r="T21" s="143" t="str">
        <f t="shared" si="4"/>
        <v>-</v>
      </c>
      <c r="U21" s="143" t="str">
        <f t="shared" si="5"/>
        <v>-</v>
      </c>
      <c r="V21" s="115" t="s">
        <v>190</v>
      </c>
    </row>
    <row r="22" spans="1:22" ht="33.75">
      <c r="A22" s="8">
        <v>20</v>
      </c>
      <c r="B22" s="12" t="s">
        <v>60</v>
      </c>
      <c r="C22" s="71" t="s">
        <v>104</v>
      </c>
      <c r="D22" s="66" t="s">
        <v>105</v>
      </c>
      <c r="F22" s="137">
        <f>'20'!F$30</f>
        <v>13</v>
      </c>
      <c r="G22" s="138">
        <f>'20'!F$29</f>
        <v>199</v>
      </c>
      <c r="H22" s="138">
        <f>'20'!F$27</f>
        <v>1625</v>
      </c>
      <c r="I22" s="115" t="str">
        <f>"pounds of TSS reduced
per "&amp;'BMP info'!E21&amp;"
per year"</f>
        <v>pounds of TSS reduced
per acre
per year</v>
      </c>
      <c r="J22" s="83"/>
      <c r="K22" s="103">
        <f>'20'!D$34</f>
        <v>1190.0999999999999</v>
      </c>
      <c r="L22" s="115" t="str">
        <f>"per "&amp;'BMP info'!E21&amp;"
per year"</f>
        <v>per acre
per year</v>
      </c>
      <c r="M22" s="83"/>
      <c r="N22" s="135">
        <f t="shared" si="0"/>
        <v>10.923451810772205</v>
      </c>
      <c r="O22" s="136">
        <f t="shared" si="1"/>
        <v>167.2128392572053</v>
      </c>
      <c r="P22" s="136">
        <f t="shared" si="2"/>
        <v>1365.4314763465256</v>
      </c>
      <c r="Q22" s="115" t="s">
        <v>137</v>
      </c>
      <c r="R22" s="83"/>
      <c r="S22" s="103">
        <f t="shared" si="3"/>
        <v>0.73236923076923066</v>
      </c>
      <c r="T22" s="143">
        <f t="shared" si="4"/>
        <v>5.9804020100502511</v>
      </c>
      <c r="U22" s="143">
        <f t="shared" si="5"/>
        <v>91.546153846153842</v>
      </c>
      <c r="V22" s="115" t="s">
        <v>190</v>
      </c>
    </row>
    <row r="23" spans="1:22" ht="33.75">
      <c r="A23" s="8">
        <v>21</v>
      </c>
      <c r="B23" s="12" t="s">
        <v>60</v>
      </c>
      <c r="C23" s="71" t="s">
        <v>106</v>
      </c>
      <c r="D23" s="66" t="s">
        <v>107</v>
      </c>
      <c r="F23" s="133">
        <f>'21'!F$30</f>
        <v>0</v>
      </c>
      <c r="G23" s="134">
        <f>'21'!F$29</f>
        <v>0</v>
      </c>
      <c r="H23" s="134">
        <f>'21'!F$27</f>
        <v>0</v>
      </c>
      <c r="I23" s="115" t="str">
        <f>"pounds of TSS reduced
per "&amp;'BMP info'!E22&amp;"
per year"</f>
        <v>pounds of TSS reduced
per animal unit
per year</v>
      </c>
      <c r="J23" s="83"/>
      <c r="K23" s="104">
        <f>'21'!D$34</f>
        <v>1</v>
      </c>
      <c r="L23" s="115" t="str">
        <f>"per "&amp;'BMP info'!E22&amp;"
per year"</f>
        <v>per animal unit
per year</v>
      </c>
      <c r="M23" s="83"/>
      <c r="N23" s="133">
        <f t="shared" si="0"/>
        <v>0</v>
      </c>
      <c r="O23" s="134">
        <f t="shared" si="1"/>
        <v>0</v>
      </c>
      <c r="P23" s="134">
        <f t="shared" si="2"/>
        <v>0</v>
      </c>
      <c r="Q23" s="115" t="s">
        <v>137</v>
      </c>
      <c r="R23" s="83"/>
      <c r="S23" s="102" t="str">
        <f t="shared" si="3"/>
        <v>-</v>
      </c>
      <c r="T23" s="142" t="str">
        <f t="shared" si="4"/>
        <v>-</v>
      </c>
      <c r="U23" s="142" t="str">
        <f t="shared" si="5"/>
        <v>-</v>
      </c>
      <c r="V23" s="115" t="s">
        <v>190</v>
      </c>
    </row>
    <row r="24" spans="1:22" ht="33.75">
      <c r="A24" s="8">
        <v>22</v>
      </c>
      <c r="B24" s="12" t="s">
        <v>60</v>
      </c>
      <c r="C24" s="71" t="s">
        <v>64</v>
      </c>
      <c r="D24" s="66" t="s">
        <v>108</v>
      </c>
      <c r="F24" s="137">
        <f>'22'!F$30</f>
        <v>1.94</v>
      </c>
      <c r="G24" s="138">
        <f>'22'!F$29</f>
        <v>1.96</v>
      </c>
      <c r="H24" s="138">
        <f>'22'!F$27</f>
        <v>2.0099999999999998</v>
      </c>
      <c r="I24" s="115" t="str">
        <f>"pounds of TSS reduced
per "&amp;'BMP info'!E23&amp;"
per year"</f>
        <v>pounds of TSS reduced
per foot
per year</v>
      </c>
      <c r="J24" s="83"/>
      <c r="K24" s="104">
        <f>'22'!D$34</f>
        <v>6.6886666666666663</v>
      </c>
      <c r="L24" s="115" t="str">
        <f>"per "&amp;'BMP info'!E23&amp;"
per year"</f>
        <v>per foot
per year</v>
      </c>
      <c r="M24" s="83"/>
      <c r="N24" s="135">
        <f t="shared" si="0"/>
        <v>290.04285856672982</v>
      </c>
      <c r="O24" s="136">
        <f t="shared" si="1"/>
        <v>293.0329911292734</v>
      </c>
      <c r="P24" s="136">
        <f t="shared" si="2"/>
        <v>300.50832253563237</v>
      </c>
      <c r="Q24" s="115" t="s">
        <v>137</v>
      </c>
      <c r="R24" s="83"/>
      <c r="S24" s="103">
        <f t="shared" si="3"/>
        <v>3.327694859038143</v>
      </c>
      <c r="T24" s="143">
        <f t="shared" si="4"/>
        <v>3.4125850340136052</v>
      </c>
      <c r="U24" s="143">
        <f t="shared" si="5"/>
        <v>3.4477663230240547</v>
      </c>
      <c r="V24" s="115" t="s">
        <v>190</v>
      </c>
    </row>
    <row r="25" spans="1:22" ht="33.75">
      <c r="A25" s="8">
        <v>23</v>
      </c>
      <c r="B25" s="12" t="s">
        <v>60</v>
      </c>
      <c r="C25" s="71" t="s">
        <v>109</v>
      </c>
      <c r="D25" s="66" t="s">
        <v>110</v>
      </c>
      <c r="F25" s="137">
        <f>'23'!F$30</f>
        <v>1</v>
      </c>
      <c r="G25" s="138">
        <f>'23'!F$29</f>
        <v>2</v>
      </c>
      <c r="H25" s="138">
        <f>'23'!F$27</f>
        <v>4</v>
      </c>
      <c r="I25" s="115" t="str">
        <f>"pounds of TSS reduced
per "&amp;'BMP info'!E24&amp;"
per year"</f>
        <v>pounds of TSS reduced
per acre
per year</v>
      </c>
      <c r="J25" s="83"/>
      <c r="K25" s="104">
        <f>'23'!D$34</f>
        <v>7</v>
      </c>
      <c r="L25" s="115" t="str">
        <f>"per "&amp;'BMP info'!E24&amp;"
per year"</f>
        <v>per acre
per year</v>
      </c>
      <c r="M25" s="83"/>
      <c r="N25" s="135">
        <f t="shared" si="0"/>
        <v>142.85714285714286</v>
      </c>
      <c r="O25" s="136">
        <f t="shared" si="1"/>
        <v>285.71428571428572</v>
      </c>
      <c r="P25" s="136">
        <f t="shared" si="2"/>
        <v>571.42857142857144</v>
      </c>
      <c r="Q25" s="115" t="s">
        <v>137</v>
      </c>
      <c r="R25" s="83"/>
      <c r="S25" s="103">
        <f t="shared" si="3"/>
        <v>1.75</v>
      </c>
      <c r="T25" s="143">
        <f t="shared" si="4"/>
        <v>3.5</v>
      </c>
      <c r="U25" s="143">
        <f t="shared" si="5"/>
        <v>7</v>
      </c>
      <c r="V25" s="115" t="s">
        <v>190</v>
      </c>
    </row>
    <row r="26" spans="1:22" ht="33.75">
      <c r="A26" s="8">
        <v>24</v>
      </c>
      <c r="B26" s="12" t="s">
        <v>60</v>
      </c>
      <c r="C26" s="71" t="s">
        <v>111</v>
      </c>
      <c r="D26" s="66" t="s">
        <v>112</v>
      </c>
      <c r="F26" s="137">
        <f>'24'!F$30</f>
        <v>4</v>
      </c>
      <c r="G26" s="138">
        <f>'24'!F$29</f>
        <v>21</v>
      </c>
      <c r="H26" s="138">
        <f>'24'!F$27</f>
        <v>75</v>
      </c>
      <c r="I26" s="115" t="str">
        <f>"pounds of TSS reduced
per "&amp;'BMP info'!E25&amp;"
per year"</f>
        <v>pounds of TSS reduced
per acre
per year</v>
      </c>
      <c r="J26" s="83"/>
      <c r="K26" s="104">
        <f>'24'!D$34</f>
        <v>82.667000000000002</v>
      </c>
      <c r="L26" s="115" t="str">
        <f>"per "&amp;'BMP info'!E25&amp;"
per year"</f>
        <v>per acre
per year</v>
      </c>
      <c r="M26" s="83"/>
      <c r="N26" s="135">
        <f t="shared" si="0"/>
        <v>48.386901665719087</v>
      </c>
      <c r="O26" s="136">
        <f t="shared" si="1"/>
        <v>254.03123374502522</v>
      </c>
      <c r="P26" s="136">
        <f t="shared" si="2"/>
        <v>907.2544062322329</v>
      </c>
      <c r="Q26" s="115" t="s">
        <v>137</v>
      </c>
      <c r="R26" s="83"/>
      <c r="S26" s="103">
        <f t="shared" si="3"/>
        <v>1.1022266666666667</v>
      </c>
      <c r="T26" s="143">
        <f t="shared" si="4"/>
        <v>3.9365238095238095</v>
      </c>
      <c r="U26" s="143">
        <f t="shared" si="5"/>
        <v>20.66675</v>
      </c>
      <c r="V26" s="115" t="s">
        <v>190</v>
      </c>
    </row>
    <row r="27" spans="1:22" ht="33.75">
      <c r="A27" s="8">
        <v>25</v>
      </c>
      <c r="B27" s="12" t="s">
        <v>60</v>
      </c>
      <c r="C27" s="71" t="s">
        <v>126</v>
      </c>
      <c r="D27" s="66" t="s">
        <v>127</v>
      </c>
      <c r="F27" s="137">
        <f>'25'!F$30</f>
        <v>255</v>
      </c>
      <c r="G27" s="138">
        <f>'25'!F$29</f>
        <v>2898</v>
      </c>
      <c r="H27" s="138">
        <f>'25'!F$27</f>
        <v>8390</v>
      </c>
      <c r="I27" s="115" t="str">
        <f>"pounds of TSS reduced
per "&amp;'BMP info'!E26&amp;"
per year"</f>
        <v>pounds of TSS reduced
per acre
per year</v>
      </c>
      <c r="J27" s="83"/>
      <c r="K27" s="104">
        <f>'25'!D$34</f>
        <v>93.1</v>
      </c>
      <c r="L27" s="115" t="str">
        <f>"per "&amp;'BMP info'!E26&amp;"
per year"</f>
        <v>per acre
per year</v>
      </c>
      <c r="M27" s="83"/>
      <c r="N27" s="135">
        <f t="shared" si="0"/>
        <v>2738.9903329752956</v>
      </c>
      <c r="O27" s="136">
        <f t="shared" si="1"/>
        <v>31127.819548872183</v>
      </c>
      <c r="P27" s="136">
        <f t="shared" si="2"/>
        <v>90118.15252416757</v>
      </c>
      <c r="Q27" s="115" t="s">
        <v>137</v>
      </c>
      <c r="R27" s="83"/>
      <c r="S27" s="103">
        <f t="shared" si="3"/>
        <v>1.1096543504171632E-2</v>
      </c>
      <c r="T27" s="143">
        <f t="shared" si="4"/>
        <v>3.2125603864734301E-2</v>
      </c>
      <c r="U27" s="143">
        <f t="shared" si="5"/>
        <v>0.36509803921568623</v>
      </c>
      <c r="V27" s="115" t="s">
        <v>190</v>
      </c>
    </row>
    <row r="28" spans="1:22" ht="33.75">
      <c r="A28" s="8">
        <v>26</v>
      </c>
      <c r="B28" s="12" t="s">
        <v>60</v>
      </c>
      <c r="C28" s="71" t="s">
        <v>257</v>
      </c>
      <c r="D28" s="66" t="s">
        <v>114</v>
      </c>
      <c r="F28" s="137">
        <f>'26'!F$30</f>
        <v>0</v>
      </c>
      <c r="G28" s="138">
        <f>'26'!F$29</f>
        <v>0</v>
      </c>
      <c r="H28" s="138">
        <f>'26'!F$27</f>
        <v>0</v>
      </c>
      <c r="I28" s="115" t="str">
        <f>"pounds of TSS reduced
per "&amp;'BMP info'!E27&amp;"
per year"</f>
        <v>pounds of TSS reduced
per acre
per year</v>
      </c>
      <c r="J28" s="83"/>
      <c r="K28" s="104">
        <f>'26'!D$34</f>
        <v>23.33</v>
      </c>
      <c r="L28" s="115" t="str">
        <f>"per "&amp;'BMP info'!E27&amp;"
per year"</f>
        <v>per acre
per year</v>
      </c>
      <c r="M28" s="83"/>
      <c r="N28" s="135">
        <f t="shared" si="0"/>
        <v>0</v>
      </c>
      <c r="O28" s="136">
        <f t="shared" si="1"/>
        <v>0</v>
      </c>
      <c r="P28" s="136">
        <f t="shared" si="2"/>
        <v>0</v>
      </c>
      <c r="Q28" s="115" t="s">
        <v>137</v>
      </c>
      <c r="R28" s="83"/>
      <c r="S28" s="103" t="str">
        <f t="shared" si="3"/>
        <v>-</v>
      </c>
      <c r="T28" s="143" t="str">
        <f t="shared" si="4"/>
        <v>-</v>
      </c>
      <c r="U28" s="143" t="str">
        <f t="shared" si="5"/>
        <v>-</v>
      </c>
      <c r="V28" s="115" t="s">
        <v>190</v>
      </c>
    </row>
    <row r="29" spans="1:22" ht="33.75">
      <c r="A29" s="8">
        <v>27</v>
      </c>
      <c r="B29" s="12" t="s">
        <v>60</v>
      </c>
      <c r="C29" s="71" t="s">
        <v>117</v>
      </c>
      <c r="D29" s="66" t="s">
        <v>118</v>
      </c>
      <c r="F29" s="133">
        <f>'27'!F$30</f>
        <v>0</v>
      </c>
      <c r="G29" s="134">
        <f>'27'!F$29</f>
        <v>0</v>
      </c>
      <c r="H29" s="134">
        <f>'27'!F$27</f>
        <v>0</v>
      </c>
      <c r="I29" s="115" t="str">
        <f>"pounds of TSS reduced
per "&amp;'BMP info'!E28&amp;"
per year"</f>
        <v>pounds of TSS reduced
per animal unit
per year</v>
      </c>
      <c r="J29" s="83"/>
      <c r="K29" s="104">
        <f>'27'!D$34</f>
        <v>0.83</v>
      </c>
      <c r="L29" s="115" t="str">
        <f>"per "&amp;'BMP info'!E28&amp;"
per year"</f>
        <v>per animal unit
per year</v>
      </c>
      <c r="M29" s="83"/>
      <c r="N29" s="133">
        <f t="shared" si="0"/>
        <v>0</v>
      </c>
      <c r="O29" s="134">
        <f t="shared" si="1"/>
        <v>0</v>
      </c>
      <c r="P29" s="134">
        <f t="shared" si="2"/>
        <v>0</v>
      </c>
      <c r="Q29" s="115" t="s">
        <v>137</v>
      </c>
      <c r="R29" s="83"/>
      <c r="S29" s="102" t="str">
        <f t="shared" si="3"/>
        <v>-</v>
      </c>
      <c r="T29" s="142" t="str">
        <f t="shared" si="4"/>
        <v>-</v>
      </c>
      <c r="U29" s="142" t="str">
        <f t="shared" si="5"/>
        <v>-</v>
      </c>
      <c r="V29" s="115" t="s">
        <v>190</v>
      </c>
    </row>
    <row r="30" spans="1:22" ht="33.75">
      <c r="A30" s="8">
        <v>28</v>
      </c>
      <c r="B30" s="12" t="s">
        <v>60</v>
      </c>
      <c r="C30" s="71" t="s">
        <v>121</v>
      </c>
      <c r="D30" s="66" t="s">
        <v>122</v>
      </c>
      <c r="F30" s="137">
        <f>'28'!F$30</f>
        <v>8</v>
      </c>
      <c r="G30" s="138">
        <f>'28'!F$29</f>
        <v>78</v>
      </c>
      <c r="H30" s="138">
        <f>'28'!F$27</f>
        <v>425</v>
      </c>
      <c r="I30" s="115" t="str">
        <f>"pounds of TSS reduced
per "&amp;'BMP info'!E29&amp;"
per year"</f>
        <v>pounds of TSS reduced
per acre
per year</v>
      </c>
      <c r="J30" s="83"/>
      <c r="K30" s="104">
        <f>'28'!D$34</f>
        <v>600</v>
      </c>
      <c r="L30" s="115" t="str">
        <f>"per "&amp;'BMP info'!E29&amp;"
per year"</f>
        <v>per acre
per year</v>
      </c>
      <c r="M30" s="83"/>
      <c r="N30" s="135">
        <f t="shared" si="0"/>
        <v>13.333333333333334</v>
      </c>
      <c r="O30" s="136">
        <f t="shared" si="1"/>
        <v>130</v>
      </c>
      <c r="P30" s="136">
        <f t="shared" si="2"/>
        <v>708.33333333333337</v>
      </c>
      <c r="Q30" s="115" t="s">
        <v>137</v>
      </c>
      <c r="R30" s="83"/>
      <c r="S30" s="103">
        <f t="shared" si="3"/>
        <v>1.411764705882353</v>
      </c>
      <c r="T30" s="143">
        <f t="shared" si="4"/>
        <v>7.6923076923076925</v>
      </c>
      <c r="U30" s="143">
        <f t="shared" si="5"/>
        <v>75</v>
      </c>
      <c r="V30" s="115" t="s">
        <v>190</v>
      </c>
    </row>
    <row r="31" spans="1:22" ht="33.75">
      <c r="A31" s="8">
        <v>29</v>
      </c>
      <c r="B31" s="12" t="s">
        <v>60</v>
      </c>
      <c r="C31" s="71" t="s">
        <v>142</v>
      </c>
      <c r="D31" s="66" t="s">
        <v>17</v>
      </c>
      <c r="F31" s="137">
        <f>'29'!F$30</f>
        <v>41</v>
      </c>
      <c r="G31" s="138">
        <f>'29'!F$29</f>
        <v>130</v>
      </c>
      <c r="H31" s="138">
        <f>'29'!F$27</f>
        <v>607</v>
      </c>
      <c r="I31" s="115" t="str">
        <f>"pounds of TSS reduced
per "&amp;'BMP info'!E30&amp;"
per year"</f>
        <v>pounds of TSS reduced
per acre
per year</v>
      </c>
      <c r="J31" s="83"/>
      <c r="K31" s="103">
        <f>'29'!D$34</f>
        <v>163.80000000000001</v>
      </c>
      <c r="L31" s="115" t="str">
        <f>"per "&amp;'BMP info'!E30&amp;"
per year"</f>
        <v>per acre
per year</v>
      </c>
      <c r="M31" s="83"/>
      <c r="N31" s="135">
        <f t="shared" si="0"/>
        <v>250.3052503052503</v>
      </c>
      <c r="O31" s="136">
        <f t="shared" si="1"/>
        <v>793.65079365079362</v>
      </c>
      <c r="P31" s="136">
        <f t="shared" si="2"/>
        <v>3705.7387057387054</v>
      </c>
      <c r="Q31" s="115" t="s">
        <v>137</v>
      </c>
      <c r="R31" s="83"/>
      <c r="S31" s="103">
        <f t="shared" si="3"/>
        <v>0.26985172981878092</v>
      </c>
      <c r="T31" s="143">
        <f t="shared" si="4"/>
        <v>1.26</v>
      </c>
      <c r="U31" s="143">
        <f t="shared" si="5"/>
        <v>3.9951219512195126</v>
      </c>
      <c r="V31" s="115" t="s">
        <v>190</v>
      </c>
    </row>
    <row r="32" spans="1:22" ht="33.75">
      <c r="A32" s="8">
        <v>30</v>
      </c>
      <c r="B32" s="12" t="s">
        <v>60</v>
      </c>
      <c r="C32" s="71" t="s">
        <v>119</v>
      </c>
      <c r="D32" s="66" t="s">
        <v>120</v>
      </c>
      <c r="F32" s="137">
        <f>'30'!F$30</f>
        <v>31</v>
      </c>
      <c r="G32" s="138">
        <f>'30'!F$29</f>
        <v>127</v>
      </c>
      <c r="H32" s="138">
        <f>'30'!F$27</f>
        <v>274</v>
      </c>
      <c r="I32" s="115" t="str">
        <f>"pounds of TSS reduced
per "&amp;'BMP info'!E31&amp;"
per year"</f>
        <v>pounds of TSS reduced
per acre
per year</v>
      </c>
      <c r="J32" s="83"/>
      <c r="K32" s="103">
        <f>'30'!D$34</f>
        <v>600</v>
      </c>
      <c r="L32" s="115" t="str">
        <f>"per "&amp;'BMP info'!E31&amp;"
per year"</f>
        <v>per acre
per year</v>
      </c>
      <c r="M32" s="83"/>
      <c r="N32" s="135">
        <f t="shared" si="0"/>
        <v>51.666666666666664</v>
      </c>
      <c r="O32" s="136">
        <f t="shared" si="1"/>
        <v>211.66666666666666</v>
      </c>
      <c r="P32" s="136">
        <f t="shared" si="2"/>
        <v>456.66666666666669</v>
      </c>
      <c r="Q32" s="115" t="s">
        <v>137</v>
      </c>
      <c r="R32" s="83"/>
      <c r="S32" s="103">
        <f t="shared" si="3"/>
        <v>2.1897810218978102</v>
      </c>
      <c r="T32" s="143">
        <f t="shared" si="4"/>
        <v>4.7244094488188972</v>
      </c>
      <c r="U32" s="143">
        <f t="shared" si="5"/>
        <v>19.35483870967742</v>
      </c>
      <c r="V32" s="115" t="s">
        <v>190</v>
      </c>
    </row>
    <row r="33" spans="1:22" ht="33.75">
      <c r="A33" s="8">
        <v>31</v>
      </c>
      <c r="B33" s="12" t="s">
        <v>60</v>
      </c>
      <c r="C33" s="71" t="s">
        <v>18</v>
      </c>
      <c r="D33" s="66" t="s">
        <v>19</v>
      </c>
      <c r="F33" s="137">
        <f>'31'!F$30</f>
        <v>0</v>
      </c>
      <c r="G33" s="138">
        <f>'31'!F$29</f>
        <v>0</v>
      </c>
      <c r="H33" s="138">
        <f>'31'!F$27</f>
        <v>0</v>
      </c>
      <c r="I33" s="115" t="str">
        <f>"pounds of TSS reduced
per "&amp;'BMP info'!E32&amp;"
per year"</f>
        <v>pounds of TSS reduced
per acre
per year</v>
      </c>
      <c r="J33" s="83"/>
      <c r="K33" s="103">
        <f>'31'!D$34</f>
        <v>52</v>
      </c>
      <c r="L33" s="115" t="str">
        <f>"per "&amp;'BMP info'!E32&amp;"
per year"</f>
        <v>per acre
per year</v>
      </c>
      <c r="M33" s="83"/>
      <c r="N33" s="135">
        <f t="shared" ref="N33:P35" si="6">IF($K33=0,"-",1000*F33/$K33)</f>
        <v>0</v>
      </c>
      <c r="O33" s="136">
        <f t="shared" si="6"/>
        <v>0</v>
      </c>
      <c r="P33" s="136">
        <f t="shared" si="6"/>
        <v>0</v>
      </c>
      <c r="Q33" s="115" t="s">
        <v>137</v>
      </c>
      <c r="R33" s="83"/>
      <c r="S33" s="103" t="str">
        <f t="shared" si="3"/>
        <v>-</v>
      </c>
      <c r="T33" s="143" t="str">
        <f t="shared" si="4"/>
        <v>-</v>
      </c>
      <c r="U33" s="143" t="str">
        <f t="shared" si="5"/>
        <v>-</v>
      </c>
      <c r="V33" s="115" t="s">
        <v>190</v>
      </c>
    </row>
    <row r="34" spans="1:22" ht="33.75">
      <c r="A34" s="8">
        <v>32</v>
      </c>
      <c r="B34" s="12" t="s">
        <v>60</v>
      </c>
      <c r="C34" s="71" t="s">
        <v>20</v>
      </c>
      <c r="D34" s="66" t="s">
        <v>168</v>
      </c>
      <c r="F34" s="137">
        <f>'32'!F$30</f>
        <v>82</v>
      </c>
      <c r="G34" s="138">
        <f>'32'!F$29</f>
        <v>139</v>
      </c>
      <c r="H34" s="138">
        <f>'32'!F$27</f>
        <v>428</v>
      </c>
      <c r="I34" s="115" t="str">
        <f>"pounds of TSS reduced
per "&amp;'BMP info'!E33&amp;"
per year"</f>
        <v>pounds of TSS reduced
per acre
per year</v>
      </c>
      <c r="J34" s="83"/>
      <c r="K34" s="103">
        <f>'32'!D$34</f>
        <v>231.42222222222222</v>
      </c>
      <c r="L34" s="115" t="str">
        <f>"per "&amp;'BMP info'!E33&amp;"
per year"</f>
        <v>per acre
per year</v>
      </c>
      <c r="M34" s="83"/>
      <c r="N34" s="135">
        <f t="shared" si="6"/>
        <v>354.3307086614173</v>
      </c>
      <c r="O34" s="136">
        <f t="shared" si="6"/>
        <v>600.63376224313424</v>
      </c>
      <c r="P34" s="136">
        <f t="shared" si="6"/>
        <v>1849.4334549644709</v>
      </c>
      <c r="Q34" s="115" t="s">
        <v>137</v>
      </c>
      <c r="R34" s="83"/>
      <c r="S34" s="103">
        <f t="shared" si="3"/>
        <v>0.54070612668743512</v>
      </c>
      <c r="T34" s="143">
        <f t="shared" si="4"/>
        <v>1.664908073541167</v>
      </c>
      <c r="U34" s="143">
        <f t="shared" si="5"/>
        <v>2.822222222222222</v>
      </c>
      <c r="V34" s="115" t="s">
        <v>190</v>
      </c>
    </row>
    <row r="35" spans="1:22" ht="33.75">
      <c r="A35" s="8">
        <v>33</v>
      </c>
      <c r="B35" s="14" t="s">
        <v>57</v>
      </c>
      <c r="C35" s="71" t="s">
        <v>58</v>
      </c>
      <c r="D35" s="129" t="s">
        <v>59</v>
      </c>
      <c r="F35" s="137">
        <f>'33'!F$30</f>
        <v>0</v>
      </c>
      <c r="G35" s="138">
        <f>'33'!F$29</f>
        <v>0</v>
      </c>
      <c r="H35" s="138">
        <f>'33'!F$27</f>
        <v>0</v>
      </c>
      <c r="I35" s="115" t="str">
        <f>"pounds of TSS reduced
per "&amp;'BMP info'!E35&amp;"
per year"</f>
        <v>pounds of TSS reduced
per acre
per year</v>
      </c>
      <c r="J35" s="83"/>
      <c r="K35" s="104">
        <f>'33'!D$34</f>
        <v>20.5</v>
      </c>
      <c r="L35" s="115" t="str">
        <f>"per "&amp;'BMP info'!E35&amp;"
per year"</f>
        <v>per acre
per year</v>
      </c>
      <c r="M35" s="83"/>
      <c r="N35" s="135">
        <f t="shared" si="6"/>
        <v>0</v>
      </c>
      <c r="O35" s="136">
        <f t="shared" si="6"/>
        <v>0</v>
      </c>
      <c r="P35" s="136">
        <f t="shared" si="6"/>
        <v>0</v>
      </c>
      <c r="Q35" s="115" t="s">
        <v>137</v>
      </c>
      <c r="R35" s="83"/>
      <c r="S35" s="103" t="str">
        <f t="shared" ref="S35:S47" si="7">IF($K35*H35=0,"-",$K35/H35)</f>
        <v>-</v>
      </c>
      <c r="T35" s="143" t="str">
        <f t="shared" ref="T35:T47" si="8">IF($K35*G35=0,"-",$K35/G35)</f>
        <v>-</v>
      </c>
      <c r="U35" s="143" t="str">
        <f t="shared" ref="U35:U47" si="9">IF($K35*F35=0,"-",$K35/F35)</f>
        <v>-</v>
      </c>
      <c r="V35" s="115" t="s">
        <v>190</v>
      </c>
    </row>
    <row r="36" spans="1:22" ht="33.75">
      <c r="A36" s="8">
        <v>34</v>
      </c>
      <c r="B36" s="13" t="s">
        <v>70</v>
      </c>
      <c r="C36" s="71" t="s">
        <v>47</v>
      </c>
      <c r="D36" s="66" t="s">
        <v>48</v>
      </c>
      <c r="F36" s="137">
        <f>'34'!F$30</f>
        <v>120</v>
      </c>
      <c r="G36" s="138">
        <f>'34'!F$29</f>
        <v>217</v>
      </c>
      <c r="H36" s="138">
        <f>'34'!F$27</f>
        <v>826</v>
      </c>
      <c r="I36" s="115" t="str">
        <f>"pounds of TSS reduced
per "&amp;'BMP info'!E36&amp;"
per year"</f>
        <v>pounds of TSS reduced
per MGD
per year</v>
      </c>
      <c r="J36" s="83"/>
      <c r="K36" s="104">
        <f>'34'!D$34</f>
        <v>45</v>
      </c>
      <c r="L36" s="115" t="str">
        <f>"per "&amp;'BMP info'!E36&amp;"
per year"</f>
        <v>per MGD
per year</v>
      </c>
      <c r="M36" s="83"/>
      <c r="N36" s="135">
        <f t="shared" ref="N36:P37" si="10">IF($K36=0,"-",1000*F36/$K36)</f>
        <v>2666.6666666666665</v>
      </c>
      <c r="O36" s="136">
        <f t="shared" si="10"/>
        <v>4822.2222222222226</v>
      </c>
      <c r="P36" s="136">
        <f t="shared" si="10"/>
        <v>18355.555555555555</v>
      </c>
      <c r="Q36" s="115" t="s">
        <v>137</v>
      </c>
      <c r="R36" s="83"/>
      <c r="S36" s="103">
        <f t="shared" si="7"/>
        <v>5.4479418886198547E-2</v>
      </c>
      <c r="T36" s="143">
        <f t="shared" si="8"/>
        <v>0.20737327188940091</v>
      </c>
      <c r="U36" s="143">
        <f t="shared" si="9"/>
        <v>0.375</v>
      </c>
      <c r="V36" s="115" t="s">
        <v>190</v>
      </c>
    </row>
    <row r="37" spans="1:22" ht="33.75">
      <c r="A37" s="8">
        <v>35</v>
      </c>
      <c r="B37" s="67" t="s">
        <v>61</v>
      </c>
      <c r="C37" s="71" t="s">
        <v>62</v>
      </c>
      <c r="D37" s="66" t="s">
        <v>63</v>
      </c>
      <c r="F37" s="137">
        <f>'35'!F$30</f>
        <v>0</v>
      </c>
      <c r="G37" s="138">
        <f>'35'!F$29</f>
        <v>0</v>
      </c>
      <c r="H37" s="138">
        <f>'35'!F$27</f>
        <v>0</v>
      </c>
      <c r="I37" s="115" t="str">
        <f>"pounds of TSS reduced
per "&amp;'BMP info'!E34&amp;"
per year"</f>
        <v>pounds of TSS reduced
per ton
per year</v>
      </c>
      <c r="J37" s="83"/>
      <c r="K37" s="104">
        <f>'35'!D$34</f>
        <v>395200</v>
      </c>
      <c r="L37" s="115" t="str">
        <f>"per "&amp;'BMP info'!E34&amp;"
per year"</f>
        <v>per ton
per year</v>
      </c>
      <c r="M37" s="83"/>
      <c r="N37" s="137">
        <f t="shared" si="10"/>
        <v>0</v>
      </c>
      <c r="O37" s="138">
        <f t="shared" si="10"/>
        <v>0</v>
      </c>
      <c r="P37" s="138">
        <f t="shared" si="10"/>
        <v>0</v>
      </c>
      <c r="Q37" s="115" t="s">
        <v>137</v>
      </c>
      <c r="R37" s="83"/>
      <c r="S37" s="104" t="str">
        <f t="shared" si="7"/>
        <v>-</v>
      </c>
      <c r="T37" s="144" t="str">
        <f t="shared" si="8"/>
        <v>-</v>
      </c>
      <c r="U37" s="144" t="str">
        <f t="shared" si="9"/>
        <v>-</v>
      </c>
      <c r="V37" s="115" t="s">
        <v>190</v>
      </c>
    </row>
    <row r="38" spans="1:22" ht="33.75">
      <c r="A38" s="8" t="s">
        <v>148</v>
      </c>
      <c r="B38" s="15" t="s">
        <v>49</v>
      </c>
      <c r="C38" s="71" t="s">
        <v>141</v>
      </c>
      <c r="D38" s="130" t="s">
        <v>50</v>
      </c>
      <c r="F38" s="137">
        <f>'36a'!F$30</f>
        <v>0</v>
      </c>
      <c r="G38" s="138">
        <f>'36a'!F$29</f>
        <v>0</v>
      </c>
      <c r="H38" s="138">
        <f>'36a'!F$27</f>
        <v>0</v>
      </c>
      <c r="I38" s="115" t="str">
        <f>"pounds of TSS reduced
per "&amp;'BMP info'!E37&amp;"
per year"</f>
        <v>pounds of TSS reduced
per system
per year</v>
      </c>
      <c r="J38" s="83"/>
      <c r="K38" s="103">
        <f>'36a'!D$34</f>
        <v>750</v>
      </c>
      <c r="L38" s="115" t="str">
        <f>"per "&amp;'BMP info'!E37&amp;"
per year"</f>
        <v>per system
per year</v>
      </c>
      <c r="M38" s="83"/>
      <c r="N38" s="135">
        <f t="shared" ref="N38:N47" si="11">IF($K38=0,"-",1000*F38/$K38)</f>
        <v>0</v>
      </c>
      <c r="O38" s="139">
        <f t="shared" ref="O38:O47" si="12">IF($K38=0,"-",1000*G38/$K38)</f>
        <v>0</v>
      </c>
      <c r="P38" s="139">
        <f t="shared" ref="P38:P47" si="13">IF($K38=0,"-",1000*H38/$K38)</f>
        <v>0</v>
      </c>
      <c r="Q38" s="115" t="s">
        <v>137</v>
      </c>
      <c r="R38" s="83"/>
      <c r="S38" s="103" t="str">
        <f t="shared" si="7"/>
        <v>-</v>
      </c>
      <c r="T38" s="145" t="str">
        <f t="shared" si="8"/>
        <v>-</v>
      </c>
      <c r="U38" s="145" t="str">
        <f t="shared" si="9"/>
        <v>-</v>
      </c>
      <c r="V38" s="115" t="s">
        <v>190</v>
      </c>
    </row>
    <row r="39" spans="1:22" ht="33.75">
      <c r="A39" s="8" t="s">
        <v>149</v>
      </c>
      <c r="B39" s="15" t="s">
        <v>49</v>
      </c>
      <c r="C39" s="71" t="s">
        <v>145</v>
      </c>
      <c r="D39" s="130" t="s">
        <v>50</v>
      </c>
      <c r="F39" s="137">
        <f>'36b'!F$30</f>
        <v>0</v>
      </c>
      <c r="G39" s="138">
        <f>'36b'!F$29</f>
        <v>0</v>
      </c>
      <c r="H39" s="138">
        <f>'36b'!F$27</f>
        <v>0</v>
      </c>
      <c r="I39" s="115" t="str">
        <f>"pounds of TSS reduced
per "&amp;'BMP info'!E38&amp;"
per year"</f>
        <v>pounds of TSS reduced
per system
per year</v>
      </c>
      <c r="J39" s="83"/>
      <c r="K39" s="103">
        <f>'36b'!D$34</f>
        <v>750</v>
      </c>
      <c r="L39" s="115" t="str">
        <f>"per "&amp;'BMP info'!E38&amp;"
per year"</f>
        <v>per system
per year</v>
      </c>
      <c r="M39" s="83"/>
      <c r="N39" s="135">
        <f t="shared" si="11"/>
        <v>0</v>
      </c>
      <c r="O39" s="139">
        <f t="shared" si="12"/>
        <v>0</v>
      </c>
      <c r="P39" s="139">
        <f t="shared" si="13"/>
        <v>0</v>
      </c>
      <c r="Q39" s="115" t="s">
        <v>137</v>
      </c>
      <c r="R39" s="83"/>
      <c r="S39" s="103" t="str">
        <f t="shared" si="7"/>
        <v>-</v>
      </c>
      <c r="T39" s="145" t="str">
        <f t="shared" si="8"/>
        <v>-</v>
      </c>
      <c r="U39" s="145" t="str">
        <f t="shared" si="9"/>
        <v>-</v>
      </c>
      <c r="V39" s="115" t="s">
        <v>190</v>
      </c>
    </row>
    <row r="40" spans="1:22" ht="33.75">
      <c r="A40" s="8" t="s">
        <v>150</v>
      </c>
      <c r="B40" s="15" t="s">
        <v>49</v>
      </c>
      <c r="C40" s="71" t="s">
        <v>157</v>
      </c>
      <c r="D40" s="130" t="s">
        <v>50</v>
      </c>
      <c r="F40" s="137">
        <f>'36c'!F$30</f>
        <v>0</v>
      </c>
      <c r="G40" s="138">
        <f>'36c'!F$29</f>
        <v>0</v>
      </c>
      <c r="H40" s="138">
        <f>'36c'!F$27</f>
        <v>0</v>
      </c>
      <c r="I40" s="115" t="str">
        <f>"pounds of TSS reduced
per "&amp;'BMP info'!E39&amp;"
per year"</f>
        <v>pounds of TSS reduced
per system
per year</v>
      </c>
      <c r="J40" s="83"/>
      <c r="K40" s="103">
        <f>'36c'!D$34</f>
        <v>750</v>
      </c>
      <c r="L40" s="115" t="str">
        <f>"per "&amp;'BMP info'!E39&amp;"
per year"</f>
        <v>per system
per year</v>
      </c>
      <c r="M40" s="83"/>
      <c r="N40" s="135">
        <f t="shared" si="11"/>
        <v>0</v>
      </c>
      <c r="O40" s="139">
        <f t="shared" si="12"/>
        <v>0</v>
      </c>
      <c r="P40" s="139">
        <f t="shared" si="13"/>
        <v>0</v>
      </c>
      <c r="Q40" s="115" t="s">
        <v>137</v>
      </c>
      <c r="R40" s="83"/>
      <c r="S40" s="103" t="str">
        <f t="shared" si="7"/>
        <v>-</v>
      </c>
      <c r="T40" s="145" t="str">
        <f t="shared" si="8"/>
        <v>-</v>
      </c>
      <c r="U40" s="145" t="str">
        <f t="shared" si="9"/>
        <v>-</v>
      </c>
      <c r="V40" s="115" t="s">
        <v>190</v>
      </c>
    </row>
    <row r="41" spans="1:22" ht="33.75">
      <c r="A41" s="8" t="s">
        <v>151</v>
      </c>
      <c r="B41" s="15" t="s">
        <v>49</v>
      </c>
      <c r="C41" s="71" t="s">
        <v>143</v>
      </c>
      <c r="D41" s="130" t="s">
        <v>51</v>
      </c>
      <c r="F41" s="137">
        <f>'37a'!F$30</f>
        <v>0</v>
      </c>
      <c r="G41" s="138">
        <f>'37a'!F$29</f>
        <v>0</v>
      </c>
      <c r="H41" s="138">
        <f>'37a'!F$27</f>
        <v>0</v>
      </c>
      <c r="I41" s="115" t="str">
        <f>"pounds of TSS reduced
per "&amp;'BMP info'!E40&amp;"
per year"</f>
        <v>pounds of TSS reduced
per system
per year</v>
      </c>
      <c r="J41" s="83"/>
      <c r="K41" s="103">
        <f>'37a'!D$34</f>
        <v>736.82500000000005</v>
      </c>
      <c r="L41" s="115" t="str">
        <f>"per "&amp;'BMP info'!E40&amp;"
per year"</f>
        <v>per system
per year</v>
      </c>
      <c r="M41" s="83"/>
      <c r="N41" s="135">
        <f t="shared" si="11"/>
        <v>0</v>
      </c>
      <c r="O41" s="139">
        <f t="shared" si="12"/>
        <v>0</v>
      </c>
      <c r="P41" s="139">
        <f t="shared" si="13"/>
        <v>0</v>
      </c>
      <c r="Q41" s="115" t="s">
        <v>137</v>
      </c>
      <c r="R41" s="83"/>
      <c r="S41" s="103" t="str">
        <f t="shared" si="7"/>
        <v>-</v>
      </c>
      <c r="T41" s="145" t="str">
        <f t="shared" si="8"/>
        <v>-</v>
      </c>
      <c r="U41" s="145" t="str">
        <f t="shared" si="9"/>
        <v>-</v>
      </c>
      <c r="V41" s="115" t="s">
        <v>190</v>
      </c>
    </row>
    <row r="42" spans="1:22" ht="33.75">
      <c r="A42" s="8" t="s">
        <v>152</v>
      </c>
      <c r="B42" s="15" t="s">
        <v>49</v>
      </c>
      <c r="C42" s="71" t="s">
        <v>146</v>
      </c>
      <c r="D42" s="130" t="s">
        <v>51</v>
      </c>
      <c r="F42" s="137">
        <f>'37b'!F$30</f>
        <v>0</v>
      </c>
      <c r="G42" s="138">
        <f>'37b'!F$29</f>
        <v>0</v>
      </c>
      <c r="H42" s="138">
        <f>'37b'!F$27</f>
        <v>0</v>
      </c>
      <c r="I42" s="115" t="str">
        <f>"pounds of TSS reduced
per "&amp;'BMP info'!E41&amp;"
per year"</f>
        <v>pounds of TSS reduced
per system
per year</v>
      </c>
      <c r="J42" s="83"/>
      <c r="K42" s="103">
        <f>'37b'!D$34</f>
        <v>736.82500000000005</v>
      </c>
      <c r="L42" s="115" t="str">
        <f>"per "&amp;'BMP info'!E41&amp;"
per year"</f>
        <v>per system
per year</v>
      </c>
      <c r="M42" s="83"/>
      <c r="N42" s="135">
        <f t="shared" si="11"/>
        <v>0</v>
      </c>
      <c r="O42" s="139">
        <f t="shared" si="12"/>
        <v>0</v>
      </c>
      <c r="P42" s="139">
        <f t="shared" si="13"/>
        <v>0</v>
      </c>
      <c r="Q42" s="115" t="s">
        <v>137</v>
      </c>
      <c r="R42" s="83"/>
      <c r="S42" s="103" t="str">
        <f t="shared" si="7"/>
        <v>-</v>
      </c>
      <c r="T42" s="145" t="str">
        <f t="shared" si="8"/>
        <v>-</v>
      </c>
      <c r="U42" s="145" t="str">
        <f t="shared" si="9"/>
        <v>-</v>
      </c>
      <c r="V42" s="115" t="s">
        <v>190</v>
      </c>
    </row>
    <row r="43" spans="1:22" ht="33.75">
      <c r="A43" s="8" t="s">
        <v>153</v>
      </c>
      <c r="B43" s="15" t="s">
        <v>49</v>
      </c>
      <c r="C43" s="71" t="s">
        <v>158</v>
      </c>
      <c r="D43" s="130" t="s">
        <v>51</v>
      </c>
      <c r="F43" s="137">
        <f>'37c'!F$30</f>
        <v>0</v>
      </c>
      <c r="G43" s="138">
        <f>'37c'!F$29</f>
        <v>0</v>
      </c>
      <c r="H43" s="138">
        <f>'37c'!F$27</f>
        <v>0</v>
      </c>
      <c r="I43" s="115" t="str">
        <f>"pounds of TSS reduced
per "&amp;'BMP info'!E42&amp;"
per year"</f>
        <v>pounds of TSS reduced
per system
per year</v>
      </c>
      <c r="J43" s="83"/>
      <c r="K43" s="103">
        <f>'37c'!D$34</f>
        <v>736.82500000000005</v>
      </c>
      <c r="L43" s="115" t="str">
        <f>"per "&amp;'BMP info'!E42&amp;"
per year"</f>
        <v>per system
per year</v>
      </c>
      <c r="M43" s="83"/>
      <c r="N43" s="135">
        <f t="shared" si="11"/>
        <v>0</v>
      </c>
      <c r="O43" s="139">
        <f t="shared" si="12"/>
        <v>0</v>
      </c>
      <c r="P43" s="139">
        <f t="shared" si="13"/>
        <v>0</v>
      </c>
      <c r="Q43" s="115" t="s">
        <v>137</v>
      </c>
      <c r="R43" s="83"/>
      <c r="S43" s="103" t="str">
        <f t="shared" si="7"/>
        <v>-</v>
      </c>
      <c r="T43" s="145" t="str">
        <f t="shared" si="8"/>
        <v>-</v>
      </c>
      <c r="U43" s="145" t="str">
        <f t="shared" si="9"/>
        <v>-</v>
      </c>
      <c r="V43" s="115" t="s">
        <v>190</v>
      </c>
    </row>
    <row r="44" spans="1:22" ht="33.75">
      <c r="A44" s="8" t="s">
        <v>154</v>
      </c>
      <c r="B44" s="15" t="s">
        <v>49</v>
      </c>
      <c r="C44" s="71" t="s">
        <v>144</v>
      </c>
      <c r="D44" s="130" t="s">
        <v>52</v>
      </c>
      <c r="F44" s="137">
        <f>'38a'!F$30</f>
        <v>0</v>
      </c>
      <c r="G44" s="138">
        <f>'38a'!F$29</f>
        <v>0</v>
      </c>
      <c r="H44" s="138">
        <f>'38a'!F$27</f>
        <v>0</v>
      </c>
      <c r="I44" s="115" t="str">
        <f>"pounds of TSS reduced
per "&amp;'BMP info'!E43&amp;"
per year"</f>
        <v>pounds of TSS reduced
per system
per year</v>
      </c>
      <c r="J44" s="83"/>
      <c r="K44" s="103">
        <f>'38a'!D$34</f>
        <v>193</v>
      </c>
      <c r="L44" s="115" t="str">
        <f>"per "&amp;'BMP info'!E43&amp;"
per year"</f>
        <v>per system
per year</v>
      </c>
      <c r="M44" s="83"/>
      <c r="N44" s="135">
        <f t="shared" si="11"/>
        <v>0</v>
      </c>
      <c r="O44" s="139">
        <f t="shared" si="12"/>
        <v>0</v>
      </c>
      <c r="P44" s="139">
        <f t="shared" si="13"/>
        <v>0</v>
      </c>
      <c r="Q44" s="115" t="s">
        <v>137</v>
      </c>
      <c r="R44" s="83"/>
      <c r="S44" s="103" t="str">
        <f t="shared" si="7"/>
        <v>-</v>
      </c>
      <c r="T44" s="145" t="str">
        <f t="shared" si="8"/>
        <v>-</v>
      </c>
      <c r="U44" s="145" t="str">
        <f t="shared" si="9"/>
        <v>-</v>
      </c>
      <c r="V44" s="115" t="s">
        <v>190</v>
      </c>
    </row>
    <row r="45" spans="1:22" ht="33.75">
      <c r="A45" s="8" t="s">
        <v>155</v>
      </c>
      <c r="B45" s="15" t="s">
        <v>49</v>
      </c>
      <c r="C45" s="71" t="s">
        <v>147</v>
      </c>
      <c r="D45" s="130" t="s">
        <v>52</v>
      </c>
      <c r="F45" s="137">
        <f>'38b'!F$30</f>
        <v>0</v>
      </c>
      <c r="G45" s="138">
        <f>'38b'!F$29</f>
        <v>0</v>
      </c>
      <c r="H45" s="138">
        <f>'38b'!F$27</f>
        <v>0</v>
      </c>
      <c r="I45" s="115" t="str">
        <f>"pounds of TSS reduced
per "&amp;'BMP info'!E44&amp;"
per year"</f>
        <v>pounds of TSS reduced
per system
per year</v>
      </c>
      <c r="J45" s="83"/>
      <c r="K45" s="103">
        <f>'38b'!D$34</f>
        <v>193</v>
      </c>
      <c r="L45" s="115" t="str">
        <f>"per "&amp;'BMP info'!E44&amp;"
per year"</f>
        <v>per system
per year</v>
      </c>
      <c r="M45" s="83"/>
      <c r="N45" s="135">
        <f t="shared" si="11"/>
        <v>0</v>
      </c>
      <c r="O45" s="139">
        <f t="shared" si="12"/>
        <v>0</v>
      </c>
      <c r="P45" s="139">
        <f t="shared" si="13"/>
        <v>0</v>
      </c>
      <c r="Q45" s="115" t="s">
        <v>137</v>
      </c>
      <c r="R45" s="83"/>
      <c r="S45" s="103" t="str">
        <f t="shared" si="7"/>
        <v>-</v>
      </c>
      <c r="T45" s="145" t="str">
        <f t="shared" si="8"/>
        <v>-</v>
      </c>
      <c r="U45" s="145" t="str">
        <f t="shared" si="9"/>
        <v>-</v>
      </c>
      <c r="V45" s="115" t="s">
        <v>190</v>
      </c>
    </row>
    <row r="46" spans="1:22" ht="33.75">
      <c r="A46" s="8" t="s">
        <v>156</v>
      </c>
      <c r="B46" s="15" t="s">
        <v>49</v>
      </c>
      <c r="C46" s="71" t="s">
        <v>159</v>
      </c>
      <c r="D46" s="130" t="s">
        <v>52</v>
      </c>
      <c r="F46" s="137">
        <f>'38c'!F$30</f>
        <v>0</v>
      </c>
      <c r="G46" s="138">
        <f>'38c'!F$29</f>
        <v>0</v>
      </c>
      <c r="H46" s="138">
        <f>'38c'!F$27</f>
        <v>0</v>
      </c>
      <c r="I46" s="115" t="str">
        <f>"pounds of TSS reduced
per "&amp;'BMP info'!E45&amp;"
per year"</f>
        <v>pounds of TSS reduced
per system
per year</v>
      </c>
      <c r="J46" s="83"/>
      <c r="K46" s="103">
        <f>'38c'!D$34</f>
        <v>193</v>
      </c>
      <c r="L46" s="115" t="str">
        <f>"per "&amp;'BMP info'!E45&amp;"
per year"</f>
        <v>per system
per year</v>
      </c>
      <c r="M46" s="83"/>
      <c r="N46" s="135">
        <f t="shared" si="11"/>
        <v>0</v>
      </c>
      <c r="O46" s="139">
        <f t="shared" si="12"/>
        <v>0</v>
      </c>
      <c r="P46" s="139">
        <f t="shared" si="13"/>
        <v>0</v>
      </c>
      <c r="Q46" s="115" t="s">
        <v>137</v>
      </c>
      <c r="R46" s="83"/>
      <c r="S46" s="103" t="str">
        <f t="shared" si="7"/>
        <v>-</v>
      </c>
      <c r="T46" s="145" t="str">
        <f t="shared" si="8"/>
        <v>-</v>
      </c>
      <c r="U46" s="145" t="str">
        <f t="shared" si="9"/>
        <v>-</v>
      </c>
      <c r="V46" s="115" t="s">
        <v>190</v>
      </c>
    </row>
    <row r="47" spans="1:22" ht="33.75" customHeight="1">
      <c r="A47" s="8">
        <v>39</v>
      </c>
      <c r="B47" s="16" t="s">
        <v>69</v>
      </c>
      <c r="C47" s="71" t="s">
        <v>21</v>
      </c>
      <c r="D47" s="66" t="s">
        <v>22</v>
      </c>
      <c r="F47" s="137">
        <f>'39'!F$30</f>
        <v>1663.9968561697669</v>
      </c>
      <c r="G47" s="138">
        <f>'39'!F$29</f>
        <v>4670.5207127979638</v>
      </c>
      <c r="H47" s="138">
        <f>'39'!F$27</f>
        <v>4670.5207127979638</v>
      </c>
      <c r="I47" s="115" t="str">
        <f>"pounds of TSS reduced
per "&amp;'BMP info'!E46&amp;"
per year"</f>
        <v>pounds of TSS reduced
per acre
per year</v>
      </c>
      <c r="J47" s="83"/>
      <c r="K47" s="102">
        <f>'39'!D$34</f>
        <v>0</v>
      </c>
      <c r="L47" s="115" t="str">
        <f>"per "&amp;'BMP info'!E46&amp;"
per year"</f>
        <v>per acre
per year</v>
      </c>
      <c r="M47" s="83"/>
      <c r="N47" s="133" t="str">
        <f t="shared" si="11"/>
        <v>-</v>
      </c>
      <c r="O47" s="134" t="str">
        <f t="shared" si="12"/>
        <v>-</v>
      </c>
      <c r="P47" s="134" t="str">
        <f t="shared" si="13"/>
        <v>-</v>
      </c>
      <c r="Q47" s="115" t="s">
        <v>137</v>
      </c>
      <c r="R47" s="83"/>
      <c r="S47" s="102" t="str">
        <f t="shared" si="7"/>
        <v>-</v>
      </c>
      <c r="T47" s="142" t="str">
        <f t="shared" si="8"/>
        <v>-</v>
      </c>
      <c r="U47" s="142" t="str">
        <f t="shared" si="9"/>
        <v>-</v>
      </c>
      <c r="V47" s="115" t="s">
        <v>190</v>
      </c>
    </row>
    <row r="48" spans="1:22" ht="33.75" customHeight="1">
      <c r="A48" s="8">
        <v>40</v>
      </c>
      <c r="B48" s="16" t="s">
        <v>69</v>
      </c>
      <c r="C48" s="71" t="s">
        <v>290</v>
      </c>
      <c r="D48" s="66" t="s">
        <v>139</v>
      </c>
      <c r="F48" s="137">
        <f>'40'!F$30</f>
        <v>65.955529479999996</v>
      </c>
      <c r="G48" s="138">
        <f>'40'!F$29</f>
        <v>158.91606959999999</v>
      </c>
      <c r="H48" s="138">
        <f>'40'!F$27</f>
        <v>825.33110710000005</v>
      </c>
      <c r="I48" s="115" t="str">
        <f>"pounds of TSS reduced
per "&amp;'BMP info'!E47&amp;"
per year"</f>
        <v>pounds of TSS reduced
per acre treated
per year</v>
      </c>
      <c r="J48" s="83"/>
      <c r="K48" s="103">
        <f>'40'!D$34</f>
        <v>1038.5999999999999</v>
      </c>
      <c r="L48" s="115" t="str">
        <f>"per "&amp;'BMP info'!E47&amp;"
per year"</f>
        <v>per acre treated
per year</v>
      </c>
      <c r="M48" s="83"/>
      <c r="N48" s="135">
        <f t="shared" ref="N48:N66" si="14">IF($K48=0,"-",1000*F48/$K48)</f>
        <v>63.504264856537652</v>
      </c>
      <c r="O48" s="136">
        <f t="shared" ref="O48:O66" si="15">IF($K48=0,"-",1000*G48/$K48)</f>
        <v>153.00988792605432</v>
      </c>
      <c r="P48" s="136">
        <f t="shared" ref="P48:P66" si="16">IF($K48=0,"-",1000*H48/$K48)</f>
        <v>794.65733400731767</v>
      </c>
      <c r="Q48" s="115" t="s">
        <v>137</v>
      </c>
      <c r="R48" s="83"/>
      <c r="S48" s="103">
        <f t="shared" ref="S48:S66" si="17">IF($K48*H48=0,"-",$K48/H48)</f>
        <v>1.2584040405908987</v>
      </c>
      <c r="T48" s="143">
        <f t="shared" ref="T48:T66" si="18">IF($K48*G48=0,"-",$K48/G48)</f>
        <v>6.5355253412333321</v>
      </c>
      <c r="U48" s="143">
        <f t="shared" ref="U48:U66" si="19">IF($K48*F48=0,"-",$K48/F48)</f>
        <v>15.746973880559013</v>
      </c>
      <c r="V48" s="115" t="s">
        <v>190</v>
      </c>
    </row>
    <row r="49" spans="1:22" ht="33.75" customHeight="1">
      <c r="A49" s="8">
        <v>41</v>
      </c>
      <c r="B49" s="16" t="s">
        <v>69</v>
      </c>
      <c r="C49" s="71" t="s">
        <v>280</v>
      </c>
      <c r="D49" s="66" t="s">
        <v>23</v>
      </c>
      <c r="F49" s="137">
        <f>'41'!F$30</f>
        <v>33.260871870000003</v>
      </c>
      <c r="G49" s="138">
        <f>'41'!F$29</f>
        <v>292.43489090000003</v>
      </c>
      <c r="H49" s="138">
        <f>'41'!F$27</f>
        <v>654.04639269999996</v>
      </c>
      <c r="I49" s="115" t="str">
        <f>"pounds of TSS reduced
per "&amp;'BMP info'!E48&amp;"
per year"</f>
        <v>pounds of TSS reduced
per acre treated
per year</v>
      </c>
      <c r="J49" s="83"/>
      <c r="K49" s="103">
        <f>'41'!D$34</f>
        <v>827.45</v>
      </c>
      <c r="L49" s="115" t="str">
        <f>"per "&amp;'BMP info'!E48&amp;"
per year"</f>
        <v>per acre treated
per year</v>
      </c>
      <c r="M49" s="83"/>
      <c r="N49" s="135">
        <f t="shared" si="14"/>
        <v>40.196835905492783</v>
      </c>
      <c r="O49" s="136">
        <f t="shared" si="15"/>
        <v>353.4169930509396</v>
      </c>
      <c r="P49" s="136">
        <f t="shared" si="16"/>
        <v>790.43615046226353</v>
      </c>
      <c r="Q49" s="115" t="s">
        <v>137</v>
      </c>
      <c r="R49" s="83"/>
      <c r="S49" s="103">
        <f t="shared" si="17"/>
        <v>1.2651243233437377</v>
      </c>
      <c r="T49" s="143">
        <f t="shared" si="18"/>
        <v>2.8295187262143484</v>
      </c>
      <c r="U49" s="143">
        <f t="shared" si="19"/>
        <v>24.877579975476451</v>
      </c>
      <c r="V49" s="115" t="s">
        <v>190</v>
      </c>
    </row>
    <row r="50" spans="1:22" ht="33.75" customHeight="1">
      <c r="A50" s="8">
        <v>42</v>
      </c>
      <c r="B50" s="16" t="s">
        <v>69</v>
      </c>
      <c r="C50" s="71" t="s">
        <v>281</v>
      </c>
      <c r="D50" s="66" t="s">
        <v>24</v>
      </c>
      <c r="F50" s="137">
        <f>'42'!F$30</f>
        <v>1.685233081</v>
      </c>
      <c r="G50" s="138">
        <f>'42'!F$29</f>
        <v>18.811317630000001</v>
      </c>
      <c r="H50" s="138">
        <f>'42'!F$27</f>
        <v>77.148504029999998</v>
      </c>
      <c r="I50" s="115" t="str">
        <f>"pounds of TSS reduced
per "&amp;'BMP info'!E49&amp;"
per year"</f>
        <v>pounds of TSS reduced
per acre treated
per year</v>
      </c>
      <c r="J50" s="83"/>
      <c r="K50" s="103">
        <f>'42'!D$34</f>
        <v>1120.8499999999999</v>
      </c>
      <c r="L50" s="115" t="str">
        <f>"per "&amp;'BMP info'!E49&amp;"
per year"</f>
        <v>per acre treated
per year</v>
      </c>
      <c r="M50" s="83"/>
      <c r="N50" s="135">
        <f t="shared" si="14"/>
        <v>1.5035313208725523</v>
      </c>
      <c r="O50" s="136">
        <f t="shared" si="15"/>
        <v>16.783082151938263</v>
      </c>
      <c r="P50" s="136">
        <f t="shared" si="16"/>
        <v>68.830355560512118</v>
      </c>
      <c r="Q50" s="115" t="s">
        <v>137</v>
      </c>
      <c r="R50" s="83"/>
      <c r="S50" s="103">
        <f t="shared" si="17"/>
        <v>14.528473547123426</v>
      </c>
      <c r="T50" s="143">
        <f t="shared" si="18"/>
        <v>59.583811301579722</v>
      </c>
      <c r="U50" s="143">
        <f t="shared" si="19"/>
        <v>665.10087692730258</v>
      </c>
      <c r="V50" s="115" t="s">
        <v>190</v>
      </c>
    </row>
    <row r="51" spans="1:22" ht="33.75" customHeight="1">
      <c r="A51" s="8">
        <v>43</v>
      </c>
      <c r="B51" s="16" t="s">
        <v>69</v>
      </c>
      <c r="C51" s="71" t="s">
        <v>26</v>
      </c>
      <c r="D51" s="66" t="s">
        <v>27</v>
      </c>
      <c r="F51" s="137">
        <f>'43'!F$30</f>
        <v>658.89825580000002</v>
      </c>
      <c r="G51" s="138">
        <f>'43'!F$29</f>
        <v>1338.6006130000001</v>
      </c>
      <c r="H51" s="138">
        <f>'43'!F$27</f>
        <v>4415.0730560000002</v>
      </c>
      <c r="I51" s="115" t="str">
        <f>"pounds of TSS reduced
per "&amp;'BMP info'!E50&amp;"
per year"</f>
        <v>pounds of TSS reduced
per acre treated
per year</v>
      </c>
      <c r="J51" s="83"/>
      <c r="K51" s="103">
        <f>'43'!D$34</f>
        <v>1305</v>
      </c>
      <c r="L51" s="115" t="str">
        <f>"per "&amp;'BMP info'!E50&amp;"
per year"</f>
        <v>per acre treated
per year</v>
      </c>
      <c r="M51" s="83"/>
      <c r="N51" s="135">
        <f t="shared" si="14"/>
        <v>504.90287800766288</v>
      </c>
      <c r="O51" s="136">
        <f t="shared" si="15"/>
        <v>1025.7475961685825</v>
      </c>
      <c r="P51" s="136">
        <f t="shared" si="16"/>
        <v>3383.1977440613027</v>
      </c>
      <c r="Q51" s="115" t="s">
        <v>137</v>
      </c>
      <c r="R51" s="83"/>
      <c r="S51" s="103">
        <f t="shared" si="17"/>
        <v>0.29557834795655985</v>
      </c>
      <c r="T51" s="143">
        <f t="shared" si="18"/>
        <v>0.97489870191774664</v>
      </c>
      <c r="U51" s="143">
        <f t="shared" si="19"/>
        <v>1.9805789262798046</v>
      </c>
      <c r="V51" s="115" t="s">
        <v>190</v>
      </c>
    </row>
    <row r="52" spans="1:22" ht="33.75" customHeight="1">
      <c r="A52" s="8">
        <v>44</v>
      </c>
      <c r="B52" s="16" t="s">
        <v>69</v>
      </c>
      <c r="C52" s="71" t="s">
        <v>66</v>
      </c>
      <c r="D52" s="66" t="s">
        <v>28</v>
      </c>
      <c r="F52" s="137">
        <f>'44'!F$30</f>
        <v>298</v>
      </c>
      <c r="G52" s="138">
        <f>'44'!F$29</f>
        <v>1362</v>
      </c>
      <c r="H52" s="138">
        <f>'44'!F$27</f>
        <v>1647</v>
      </c>
      <c r="I52" s="115" t="str">
        <f>"pounds of TSS reduced
per "&amp;'BMP info'!E51&amp;"
per year"</f>
        <v>pounds of TSS reduced
per acre treated
per year</v>
      </c>
      <c r="J52" s="83"/>
      <c r="K52" s="103">
        <f>'44'!D$34</f>
        <v>1305</v>
      </c>
      <c r="L52" s="115" t="str">
        <f>"per "&amp;'BMP info'!E51&amp;"
per year"</f>
        <v>per acre treated
per year</v>
      </c>
      <c r="M52" s="83"/>
      <c r="N52" s="135">
        <f t="shared" si="14"/>
        <v>228.35249042145594</v>
      </c>
      <c r="O52" s="136">
        <f t="shared" si="15"/>
        <v>1043.6781609195402</v>
      </c>
      <c r="P52" s="136">
        <f t="shared" si="16"/>
        <v>1262.0689655172414</v>
      </c>
      <c r="Q52" s="115" t="s">
        <v>137</v>
      </c>
      <c r="R52" s="83"/>
      <c r="S52" s="103">
        <f t="shared" si="17"/>
        <v>0.79234972677595628</v>
      </c>
      <c r="T52" s="143">
        <f t="shared" si="18"/>
        <v>0.95814977973568283</v>
      </c>
      <c r="U52" s="143">
        <f t="shared" si="19"/>
        <v>4.3791946308724832</v>
      </c>
      <c r="V52" s="115" t="s">
        <v>190</v>
      </c>
    </row>
    <row r="53" spans="1:22" ht="33.75" customHeight="1">
      <c r="A53" s="8">
        <v>45</v>
      </c>
      <c r="B53" s="16" t="s">
        <v>69</v>
      </c>
      <c r="C53" s="71" t="s">
        <v>282</v>
      </c>
      <c r="D53" s="66" t="s">
        <v>25</v>
      </c>
      <c r="F53" s="137">
        <f>'45'!F$30</f>
        <v>19.112903230000001</v>
      </c>
      <c r="G53" s="138">
        <f>'45'!F$29</f>
        <v>251.4931503</v>
      </c>
      <c r="H53" s="138">
        <f>'45'!F$27</f>
        <v>463.08667380000003</v>
      </c>
      <c r="I53" s="115" t="str">
        <f>"pounds of TSS reduced
per "&amp;'BMP info'!E52&amp;"
per year"</f>
        <v>pounds of TSS reduced
per acre treated
per year</v>
      </c>
      <c r="J53" s="83"/>
      <c r="K53" s="103">
        <f>'45'!D$34</f>
        <v>614.75</v>
      </c>
      <c r="L53" s="115" t="str">
        <f>"per "&amp;'BMP info'!E52&amp;"
per year"</f>
        <v>per acre treated
per year</v>
      </c>
      <c r="M53" s="83"/>
      <c r="N53" s="135">
        <f t="shared" si="14"/>
        <v>31.090529857665718</v>
      </c>
      <c r="O53" s="136">
        <f t="shared" si="15"/>
        <v>409.09825180967874</v>
      </c>
      <c r="P53" s="136">
        <f t="shared" si="16"/>
        <v>753.29267799918671</v>
      </c>
      <c r="Q53" s="115" t="s">
        <v>137</v>
      </c>
      <c r="R53" s="83"/>
      <c r="S53" s="103">
        <f t="shared" si="17"/>
        <v>1.327505270137618</v>
      </c>
      <c r="T53" s="143">
        <f t="shared" si="18"/>
        <v>2.4444005702210174</v>
      </c>
      <c r="U53" s="143">
        <f t="shared" si="19"/>
        <v>32.164135014039935</v>
      </c>
      <c r="V53" s="115" t="s">
        <v>190</v>
      </c>
    </row>
    <row r="54" spans="1:22" ht="33.75" customHeight="1">
      <c r="A54" s="8">
        <v>46</v>
      </c>
      <c r="B54" s="16" t="s">
        <v>69</v>
      </c>
      <c r="C54" s="71" t="s">
        <v>283</v>
      </c>
      <c r="D54" s="66" t="s">
        <v>36</v>
      </c>
      <c r="F54" s="137">
        <f>'46'!F$30</f>
        <v>22.397521449999999</v>
      </c>
      <c r="G54" s="138">
        <f>'46'!F$29</f>
        <v>116.7645933</v>
      </c>
      <c r="H54" s="138">
        <f>'46'!F$27</f>
        <v>503.86260479999999</v>
      </c>
      <c r="I54" s="115" t="str">
        <f>"pounds of TSS reduced
per "&amp;'BMP info'!E53&amp;"
per year"</f>
        <v>pounds of TSS reduced
per acre treated
per year</v>
      </c>
      <c r="J54" s="83"/>
      <c r="K54" s="103">
        <f>'46'!D$34</f>
        <v>1465.35</v>
      </c>
      <c r="L54" s="115" t="str">
        <f>"per "&amp;'BMP info'!E53&amp;"
per year"</f>
        <v>per acre treated
per year</v>
      </c>
      <c r="M54" s="83"/>
      <c r="N54" s="135">
        <f t="shared" si="14"/>
        <v>15.284758897191798</v>
      </c>
      <c r="O54" s="136">
        <f t="shared" si="15"/>
        <v>79.683756986385518</v>
      </c>
      <c r="P54" s="136">
        <f t="shared" si="16"/>
        <v>343.85136984338214</v>
      </c>
      <c r="Q54" s="115" t="s">
        <v>137</v>
      </c>
      <c r="R54" s="83"/>
      <c r="S54" s="103">
        <f t="shared" si="17"/>
        <v>2.9082332882823216</v>
      </c>
      <c r="T54" s="143">
        <f t="shared" si="18"/>
        <v>12.549609077429125</v>
      </c>
      <c r="U54" s="143">
        <f t="shared" si="19"/>
        <v>65.424649922592209</v>
      </c>
      <c r="V54" s="115" t="s">
        <v>190</v>
      </c>
    </row>
    <row r="55" spans="1:22" ht="33.75" customHeight="1">
      <c r="A55" s="8">
        <v>47</v>
      </c>
      <c r="B55" s="16" t="s">
        <v>69</v>
      </c>
      <c r="C55" s="71" t="s">
        <v>37</v>
      </c>
      <c r="D55" s="66" t="s">
        <v>38</v>
      </c>
      <c r="F55" s="137">
        <f>'47'!F$30</f>
        <v>55.28288259</v>
      </c>
      <c r="G55" s="138">
        <f>'47'!F$29</f>
        <v>107.54725329999999</v>
      </c>
      <c r="H55" s="138">
        <f>'47'!F$27</f>
        <v>406.47687669999999</v>
      </c>
      <c r="I55" s="115" t="str">
        <f>"pounds of TSS reduced
per "&amp;'BMP info'!E54&amp;"
per year"</f>
        <v>pounds of TSS reduced
per acre
per year</v>
      </c>
      <c r="J55" s="83"/>
      <c r="K55" s="104">
        <f>'47'!D$34</f>
        <v>531.375</v>
      </c>
      <c r="L55" s="115" t="str">
        <f>"per "&amp;'BMP info'!E54&amp;"
per year"</f>
        <v>per acre
per year</v>
      </c>
      <c r="M55" s="83"/>
      <c r="N55" s="135">
        <f t="shared" si="14"/>
        <v>104.03741724770643</v>
      </c>
      <c r="O55" s="136">
        <f t="shared" si="15"/>
        <v>202.39426638438013</v>
      </c>
      <c r="P55" s="136">
        <f t="shared" si="16"/>
        <v>764.95295544577743</v>
      </c>
      <c r="Q55" s="115" t="s">
        <v>137</v>
      </c>
      <c r="R55" s="83"/>
      <c r="S55" s="103">
        <f t="shared" si="17"/>
        <v>1.3072699345507444</v>
      </c>
      <c r="T55" s="143">
        <f t="shared" si="18"/>
        <v>4.9408514275836</v>
      </c>
      <c r="U55" s="143">
        <f t="shared" si="19"/>
        <v>9.6119264246926086</v>
      </c>
      <c r="V55" s="115" t="s">
        <v>190</v>
      </c>
    </row>
    <row r="56" spans="1:22" ht="33.75" customHeight="1">
      <c r="A56" s="8">
        <v>48</v>
      </c>
      <c r="B56" s="16" t="s">
        <v>69</v>
      </c>
      <c r="C56" s="71" t="s">
        <v>29</v>
      </c>
      <c r="D56" s="66" t="s">
        <v>30</v>
      </c>
      <c r="F56" s="137">
        <f>'48'!F$30</f>
        <v>21.789621660000002</v>
      </c>
      <c r="G56" s="138">
        <f>'48'!F$29</f>
        <v>53.096004399999998</v>
      </c>
      <c r="H56" s="138">
        <f>'48'!F$27</f>
        <v>190.78720060000001</v>
      </c>
      <c r="I56" s="115" t="str">
        <f>"pounds of TSS reduced
per "&amp;'BMP info'!E55&amp;"
per year"</f>
        <v>pounds of TSS reduced
per acre
per year</v>
      </c>
      <c r="J56" s="83"/>
      <c r="K56" s="104">
        <f>'48'!D$34</f>
        <v>0</v>
      </c>
      <c r="L56" s="115" t="str">
        <f>"per "&amp;'BMP info'!E55&amp;"
per year"</f>
        <v>per acre
per year</v>
      </c>
      <c r="M56" s="83"/>
      <c r="N56" s="135" t="str">
        <f t="shared" si="14"/>
        <v>-</v>
      </c>
      <c r="O56" s="136" t="str">
        <f t="shared" si="15"/>
        <v>-</v>
      </c>
      <c r="P56" s="136" t="str">
        <f t="shared" si="16"/>
        <v>-</v>
      </c>
      <c r="Q56" s="115" t="s">
        <v>137</v>
      </c>
      <c r="R56" s="83"/>
      <c r="S56" s="103" t="str">
        <f t="shared" si="17"/>
        <v>-</v>
      </c>
      <c r="T56" s="143" t="str">
        <f t="shared" si="18"/>
        <v>-</v>
      </c>
      <c r="U56" s="143" t="str">
        <f t="shared" si="19"/>
        <v>-</v>
      </c>
      <c r="V56" s="115" t="s">
        <v>190</v>
      </c>
    </row>
    <row r="57" spans="1:22" ht="33.75" customHeight="1">
      <c r="A57" s="8">
        <v>49</v>
      </c>
      <c r="B57" s="16" t="s">
        <v>69</v>
      </c>
      <c r="C57" s="71" t="s">
        <v>31</v>
      </c>
      <c r="D57" s="66" t="s">
        <v>32</v>
      </c>
      <c r="F57" s="137">
        <f>'49'!F$30</f>
        <v>281.86625550000002</v>
      </c>
      <c r="G57" s="138">
        <f>'49'!F$29</f>
        <v>531.1825824</v>
      </c>
      <c r="H57" s="138">
        <f>'49'!F$27</f>
        <v>1744.505052</v>
      </c>
      <c r="I57" s="115" t="str">
        <f>"pounds of TSS reduced
per "&amp;'BMP info'!E56&amp;"
per year"</f>
        <v>pounds of TSS reduced
per acre
per year</v>
      </c>
      <c r="J57" s="83"/>
      <c r="K57" s="104">
        <f>'49'!D$34</f>
        <v>8684.6</v>
      </c>
      <c r="L57" s="115" t="str">
        <f>"per "&amp;'BMP info'!E56&amp;"
per year"</f>
        <v>per acre
per year</v>
      </c>
      <c r="M57" s="83"/>
      <c r="N57" s="135">
        <f t="shared" si="14"/>
        <v>32.455870794279534</v>
      </c>
      <c r="O57" s="136">
        <f t="shared" si="15"/>
        <v>61.163736084563475</v>
      </c>
      <c r="P57" s="136">
        <f t="shared" si="16"/>
        <v>200.87339106003728</v>
      </c>
      <c r="Q57" s="115" t="s">
        <v>137</v>
      </c>
      <c r="R57" s="83"/>
      <c r="S57" s="103">
        <f t="shared" si="17"/>
        <v>4.978260160406804</v>
      </c>
      <c r="T57" s="143">
        <f t="shared" si="18"/>
        <v>16.349557172528254</v>
      </c>
      <c r="U57" s="143">
        <f t="shared" si="19"/>
        <v>30.81106670464851</v>
      </c>
      <c r="V57" s="115" t="s">
        <v>190</v>
      </c>
    </row>
    <row r="58" spans="1:22" ht="33.75" customHeight="1">
      <c r="A58" s="8">
        <v>50</v>
      </c>
      <c r="B58" s="16" t="s">
        <v>69</v>
      </c>
      <c r="C58" s="71" t="s">
        <v>284</v>
      </c>
      <c r="D58" s="66" t="s">
        <v>39</v>
      </c>
      <c r="F58" s="137">
        <f>'50'!F$30</f>
        <v>22.296808389999999</v>
      </c>
      <c r="G58" s="138">
        <f>'50'!F$29</f>
        <v>139.06213289999999</v>
      </c>
      <c r="H58" s="138">
        <f>'50'!F$27</f>
        <v>542.55510849999996</v>
      </c>
      <c r="I58" s="115" t="str">
        <f>"pounds of TSS reduced
per "&amp;'BMP info'!E57&amp;"
per year"</f>
        <v>pounds of TSS reduced
per acre treated
per year</v>
      </c>
      <c r="J58" s="83"/>
      <c r="K58" s="103">
        <f>'50'!D$34</f>
        <v>1114.9000000000001</v>
      </c>
      <c r="L58" s="115" t="str">
        <f>"per "&amp;'BMP info'!E57&amp;"
per year"</f>
        <v>per acre treated
per year</v>
      </c>
      <c r="M58" s="83"/>
      <c r="N58" s="135">
        <f t="shared" si="14"/>
        <v>19.998931195622923</v>
      </c>
      <c r="O58" s="136">
        <f t="shared" si="15"/>
        <v>124.73058830388375</v>
      </c>
      <c r="P58" s="136">
        <f t="shared" si="16"/>
        <v>486.64015472239657</v>
      </c>
      <c r="Q58" s="115" t="s">
        <v>137</v>
      </c>
      <c r="R58" s="83"/>
      <c r="S58" s="103">
        <f t="shared" si="17"/>
        <v>2.0549064648609794</v>
      </c>
      <c r="T58" s="143">
        <f t="shared" si="18"/>
        <v>8.0172795911431045</v>
      </c>
      <c r="U58" s="143">
        <f t="shared" si="19"/>
        <v>50.00267215374317</v>
      </c>
      <c r="V58" s="115" t="s">
        <v>190</v>
      </c>
    </row>
    <row r="59" spans="1:22" ht="33.75" customHeight="1">
      <c r="A59" s="8">
        <v>51</v>
      </c>
      <c r="B59" s="16" t="s">
        <v>69</v>
      </c>
      <c r="C59" s="71" t="s">
        <v>285</v>
      </c>
      <c r="D59" s="66" t="s">
        <v>40</v>
      </c>
      <c r="F59" s="137">
        <f>'51'!F$30</f>
        <v>159.69520940000001</v>
      </c>
      <c r="G59" s="138">
        <f>'51'!F$29</f>
        <v>244.10487760000001</v>
      </c>
      <c r="H59" s="138">
        <f>'51'!F$27</f>
        <v>787.10225820000005</v>
      </c>
      <c r="I59" s="115" t="str">
        <f>"pounds of TSS reduced
per "&amp;'BMP info'!E58&amp;"
per year"</f>
        <v>pounds of TSS reduced
per acre treated
per year</v>
      </c>
      <c r="J59" s="83"/>
      <c r="K59" s="103">
        <f>'51'!D$34</f>
        <v>1137.4000000000001</v>
      </c>
      <c r="L59" s="115" t="str">
        <f>"per "&amp;'BMP info'!E58&amp;"
per year"</f>
        <v>per acre treated
per year</v>
      </c>
      <c r="M59" s="83"/>
      <c r="N59" s="135">
        <f t="shared" si="14"/>
        <v>140.40373606470899</v>
      </c>
      <c r="O59" s="136">
        <f t="shared" si="15"/>
        <v>214.61656198347106</v>
      </c>
      <c r="P59" s="136">
        <f t="shared" si="16"/>
        <v>692.01886601019874</v>
      </c>
      <c r="Q59" s="115" t="s">
        <v>137</v>
      </c>
      <c r="R59" s="83"/>
      <c r="S59" s="103">
        <f t="shared" si="17"/>
        <v>1.445047308847881</v>
      </c>
      <c r="T59" s="143">
        <f t="shared" si="18"/>
        <v>4.6594726462770195</v>
      </c>
      <c r="U59" s="143">
        <f t="shared" si="19"/>
        <v>7.1223175965853365</v>
      </c>
      <c r="V59" s="115" t="s">
        <v>190</v>
      </c>
    </row>
    <row r="60" spans="1:22" ht="33.75" customHeight="1">
      <c r="A60" s="8">
        <v>52</v>
      </c>
      <c r="B60" s="16" t="s">
        <v>69</v>
      </c>
      <c r="C60" s="71" t="s">
        <v>286</v>
      </c>
      <c r="D60" s="66" t="s">
        <v>138</v>
      </c>
      <c r="F60" s="137">
        <f>'52'!F$30</f>
        <v>94.595108699999997</v>
      </c>
      <c r="G60" s="138">
        <f>'52'!F$29</f>
        <v>121.351186</v>
      </c>
      <c r="H60" s="138">
        <f>'52'!F$27</f>
        <v>208.4118799</v>
      </c>
      <c r="I60" s="115" t="str">
        <f>"pounds of TSS reduced
per "&amp;'BMP info'!E59&amp;"
per year"</f>
        <v>pounds of TSS reduced
per acre treated
per year</v>
      </c>
      <c r="J60" s="83"/>
      <c r="K60" s="104">
        <f>'52'!D$34</f>
        <v>4957.6499999999996</v>
      </c>
      <c r="L60" s="115" t="str">
        <f>"per "&amp;'BMP info'!E59&amp;"
per year"</f>
        <v>per acre treated
per year</v>
      </c>
      <c r="M60" s="83"/>
      <c r="N60" s="135">
        <f t="shared" si="14"/>
        <v>19.080634716044901</v>
      </c>
      <c r="O60" s="136">
        <f t="shared" si="15"/>
        <v>24.47756215142255</v>
      </c>
      <c r="P60" s="136">
        <f t="shared" si="16"/>
        <v>42.038441580184163</v>
      </c>
      <c r="Q60" s="115" t="s">
        <v>137</v>
      </c>
      <c r="R60" s="83"/>
      <c r="S60" s="103">
        <f t="shared" si="17"/>
        <v>23.787751458212337</v>
      </c>
      <c r="T60" s="143">
        <f t="shared" si="18"/>
        <v>40.853741635454632</v>
      </c>
      <c r="U60" s="143">
        <f t="shared" si="19"/>
        <v>52.409158022353431</v>
      </c>
      <c r="V60" s="115" t="s">
        <v>190</v>
      </c>
    </row>
    <row r="61" spans="1:22" ht="33.75" customHeight="1">
      <c r="A61" s="8">
        <v>53</v>
      </c>
      <c r="B61" s="16" t="s">
        <v>69</v>
      </c>
      <c r="C61" s="71" t="s">
        <v>287</v>
      </c>
      <c r="D61" s="66" t="s">
        <v>33</v>
      </c>
      <c r="F61" s="137">
        <f>'53'!F$30</f>
        <v>83.236682349999995</v>
      </c>
      <c r="G61" s="138">
        <f>'53'!F$29</f>
        <v>387.87016219999998</v>
      </c>
      <c r="H61" s="138">
        <f>'53'!F$27</f>
        <v>573.08280960000002</v>
      </c>
      <c r="I61" s="115" t="str">
        <f>"pounds of TSS reduced
per "&amp;'BMP info'!E60&amp;"
per year"</f>
        <v>pounds of TSS reduced
per acre treated
per year</v>
      </c>
      <c r="J61" s="83"/>
      <c r="K61" s="103">
        <f>'53'!D$34</f>
        <v>1621.6</v>
      </c>
      <c r="L61" s="115" t="str">
        <f>"per "&amp;'BMP info'!E60&amp;"
per year"</f>
        <v>per acre treated
per year</v>
      </c>
      <c r="M61" s="83"/>
      <c r="N61" s="135">
        <f t="shared" si="14"/>
        <v>51.32997184879131</v>
      </c>
      <c r="O61" s="136">
        <f t="shared" si="15"/>
        <v>239.18978922052293</v>
      </c>
      <c r="P61" s="136">
        <f t="shared" si="16"/>
        <v>353.40577799703999</v>
      </c>
      <c r="Q61" s="115" t="s">
        <v>137</v>
      </c>
      <c r="R61" s="83"/>
      <c r="S61" s="103">
        <f t="shared" si="17"/>
        <v>2.8296085187616136</v>
      </c>
      <c r="T61" s="143">
        <f t="shared" si="18"/>
        <v>4.1807804725227715</v>
      </c>
      <c r="U61" s="143">
        <f t="shared" si="19"/>
        <v>19.481795215976675</v>
      </c>
      <c r="V61" s="115" t="s">
        <v>190</v>
      </c>
    </row>
    <row r="62" spans="1:22" ht="33.75" customHeight="1">
      <c r="A62" s="8">
        <v>54</v>
      </c>
      <c r="B62" s="16" t="s">
        <v>69</v>
      </c>
      <c r="C62" s="71" t="s">
        <v>34</v>
      </c>
      <c r="D62" s="66" t="s">
        <v>35</v>
      </c>
      <c r="F62" s="137">
        <f>'54'!F$30</f>
        <v>14.862785862786616</v>
      </c>
      <c r="G62" s="138">
        <f>'54'!F$29</f>
        <v>28.937833492555395</v>
      </c>
      <c r="H62" s="138">
        <f>'54'!F$27</f>
        <v>111.71426495167501</v>
      </c>
      <c r="I62" s="115" t="str">
        <f>"pounds of TSS reduced
per "&amp;'BMP info'!E61&amp;"
per year"</f>
        <v>pounds of TSS reduced
per acre
per year</v>
      </c>
      <c r="J62" s="83"/>
      <c r="K62" s="103">
        <f>'54'!D$34</f>
        <v>743.45</v>
      </c>
      <c r="L62" s="115" t="str">
        <f>"per "&amp;'BMP info'!E61&amp;"
per year"</f>
        <v>per acre
per year</v>
      </c>
      <c r="M62" s="83"/>
      <c r="N62" s="135">
        <f t="shared" si="14"/>
        <v>19.991641486026786</v>
      </c>
      <c r="O62" s="136">
        <f t="shared" si="15"/>
        <v>38.923711739263425</v>
      </c>
      <c r="P62" s="136">
        <f t="shared" si="16"/>
        <v>150.26466467371714</v>
      </c>
      <c r="Q62" s="115" t="s">
        <v>137</v>
      </c>
      <c r="R62" s="83"/>
      <c r="S62" s="103">
        <f t="shared" si="17"/>
        <v>6.6549245105054329</v>
      </c>
      <c r="T62" s="143">
        <f t="shared" si="18"/>
        <v>25.691280592628384</v>
      </c>
      <c r="U62" s="143">
        <f t="shared" si="19"/>
        <v>50.020905021678821</v>
      </c>
      <c r="V62" s="115" t="s">
        <v>190</v>
      </c>
    </row>
    <row r="63" spans="1:22" ht="33.75" customHeight="1">
      <c r="A63" s="8">
        <v>55</v>
      </c>
      <c r="B63" s="16" t="s">
        <v>69</v>
      </c>
      <c r="C63" s="71" t="s">
        <v>41</v>
      </c>
      <c r="D63" s="66" t="s">
        <v>42</v>
      </c>
      <c r="F63" s="137">
        <f>'55'!F$30</f>
        <v>0</v>
      </c>
      <c r="G63" s="138">
        <f>'55'!F$29</f>
        <v>0</v>
      </c>
      <c r="H63" s="138">
        <f>'55'!F$27</f>
        <v>0</v>
      </c>
      <c r="I63" s="115" t="str">
        <f>"pounds of TSS reduced
per "&amp;'BMP info'!E62&amp;"
per year"</f>
        <v>pounds of TSS reduced
per acre
per year</v>
      </c>
      <c r="J63" s="83"/>
      <c r="K63" s="103">
        <f>'55'!D$34</f>
        <v>147.5</v>
      </c>
      <c r="L63" s="115" t="str">
        <f>"per "&amp;'BMP info'!E62&amp;"
per year"</f>
        <v>per acre
per year</v>
      </c>
      <c r="M63" s="83"/>
      <c r="N63" s="135">
        <f t="shared" si="14"/>
        <v>0</v>
      </c>
      <c r="O63" s="136">
        <f t="shared" si="15"/>
        <v>0</v>
      </c>
      <c r="P63" s="136">
        <f t="shared" si="16"/>
        <v>0</v>
      </c>
      <c r="Q63" s="115" t="s">
        <v>137</v>
      </c>
      <c r="R63" s="83"/>
      <c r="S63" s="103" t="str">
        <f t="shared" si="17"/>
        <v>-</v>
      </c>
      <c r="T63" s="143" t="str">
        <f t="shared" si="18"/>
        <v>-</v>
      </c>
      <c r="U63" s="143" t="str">
        <f t="shared" si="19"/>
        <v>-</v>
      </c>
      <c r="V63" s="115" t="s">
        <v>190</v>
      </c>
    </row>
    <row r="64" spans="1:22" ht="33.75" customHeight="1">
      <c r="A64" s="8">
        <v>56</v>
      </c>
      <c r="B64" s="16" t="s">
        <v>69</v>
      </c>
      <c r="C64" s="71" t="s">
        <v>44</v>
      </c>
      <c r="D64" s="66" t="s">
        <v>45</v>
      </c>
      <c r="F64" s="137">
        <f>'56'!F$30</f>
        <v>-28.515861789999999</v>
      </c>
      <c r="G64" s="138">
        <f>'56'!F$29</f>
        <v>27.611901450000001</v>
      </c>
      <c r="H64" s="138">
        <f>'56'!F$27</f>
        <v>188.8356259</v>
      </c>
      <c r="I64" s="115" t="str">
        <f>"pounds of TSS reduced
per "&amp;'BMP info'!E63&amp;"
per year"</f>
        <v>pounds of TSS reduced
per acre
per year</v>
      </c>
      <c r="J64" s="83"/>
      <c r="K64" s="104">
        <f>'56'!D$34</f>
        <v>2009.75</v>
      </c>
      <c r="L64" s="115" t="str">
        <f>"per "&amp;'BMP info'!E63&amp;"
per year"</f>
        <v>per acre
per year</v>
      </c>
      <c r="M64" s="83"/>
      <c r="N64" s="135">
        <f t="shared" si="14"/>
        <v>-14.188760686652568</v>
      </c>
      <c r="O64" s="136">
        <f t="shared" si="15"/>
        <v>13.738973230501307</v>
      </c>
      <c r="P64" s="136">
        <f t="shared" si="16"/>
        <v>93.959759124269183</v>
      </c>
      <c r="Q64" s="115" t="s">
        <v>137</v>
      </c>
      <c r="R64" s="83"/>
      <c r="S64" s="103">
        <f t="shared" si="17"/>
        <v>10.642854018787141</v>
      </c>
      <c r="T64" s="143">
        <f t="shared" si="18"/>
        <v>72.785642946005808</v>
      </c>
      <c r="U64" s="143">
        <f t="shared" si="19"/>
        <v>-70.478318866897553</v>
      </c>
      <c r="V64" s="115" t="s">
        <v>190</v>
      </c>
    </row>
    <row r="65" spans="1:22" ht="33.75" customHeight="1">
      <c r="A65" s="8">
        <v>57</v>
      </c>
      <c r="B65" s="16" t="s">
        <v>69</v>
      </c>
      <c r="C65" s="71" t="s">
        <v>67</v>
      </c>
      <c r="D65" s="66" t="s">
        <v>43</v>
      </c>
      <c r="F65" s="137">
        <f>'57'!F$30</f>
        <v>1.9195489004661594</v>
      </c>
      <c r="G65" s="138">
        <f>'57'!F$29</f>
        <v>1.9999998088855615</v>
      </c>
      <c r="H65" s="138">
        <f>'57'!F$27</f>
        <v>2.0000010898181837</v>
      </c>
      <c r="I65" s="115" t="str">
        <f>"pounds of TSS reduced
per "&amp;'BMP info'!E64&amp;"
per year"</f>
        <v>pounds of TSS reduced
per foot
per year</v>
      </c>
      <c r="J65" s="83"/>
      <c r="K65" s="103">
        <f>'57'!D$34</f>
        <v>41.004999999999995</v>
      </c>
      <c r="L65" s="115" t="str">
        <f>"per "&amp;'BMP info'!E64&amp;"
per year"</f>
        <v>per foot
per year</v>
      </c>
      <c r="M65" s="83"/>
      <c r="N65" s="135">
        <f t="shared" si="14"/>
        <v>46.812557016611628</v>
      </c>
      <c r="O65" s="136">
        <f t="shared" si="15"/>
        <v>48.774535029522298</v>
      </c>
      <c r="P65" s="136">
        <f t="shared" si="16"/>
        <v>48.774566267971807</v>
      </c>
      <c r="Q65" s="115" t="s">
        <v>137</v>
      </c>
      <c r="R65" s="83"/>
      <c r="S65" s="103">
        <f t="shared" si="17"/>
        <v>20.502488828007429</v>
      </c>
      <c r="T65" s="143">
        <f t="shared" si="18"/>
        <v>20.502501959162071</v>
      </c>
      <c r="U65" s="143">
        <f t="shared" si="19"/>
        <v>21.361789736141649</v>
      </c>
      <c r="V65" s="115" t="s">
        <v>190</v>
      </c>
    </row>
    <row r="66" spans="1:22" ht="33.75" customHeight="1">
      <c r="A66" s="252">
        <v>58</v>
      </c>
      <c r="B66" s="16" t="s">
        <v>69</v>
      </c>
      <c r="C66" s="71" t="s">
        <v>288</v>
      </c>
      <c r="D66" s="253" t="s">
        <v>140</v>
      </c>
      <c r="F66" s="137">
        <f>'58'!F$30</f>
        <v>44.398302370000003</v>
      </c>
      <c r="G66" s="138">
        <f>'58'!F$29</f>
        <v>83.534482760000003</v>
      </c>
      <c r="H66" s="138">
        <f>'58'!F$27</f>
        <v>534.20748209999999</v>
      </c>
      <c r="I66" s="115" t="str">
        <f>"pounds of TSS reduced
per "&amp;'BMP info'!E65&amp;"
per year"</f>
        <v>pounds of TSS reduced
per acre treated
per year</v>
      </c>
      <c r="J66" s="83"/>
      <c r="K66" s="103">
        <f>'58'!D$34</f>
        <v>499.05</v>
      </c>
      <c r="L66" s="115" t="str">
        <f>"per "&amp;'BMP info'!E65&amp;"
per year"</f>
        <v>per acre treated
per year</v>
      </c>
      <c r="M66" s="83"/>
      <c r="N66" s="135">
        <f t="shared" si="14"/>
        <v>88.965639454964446</v>
      </c>
      <c r="O66" s="136">
        <f t="shared" si="15"/>
        <v>167.38700082156095</v>
      </c>
      <c r="P66" s="136">
        <f t="shared" si="16"/>
        <v>1070.4488169522092</v>
      </c>
      <c r="Q66" s="115" t="s">
        <v>137</v>
      </c>
      <c r="R66" s="83"/>
      <c r="S66" s="103">
        <f t="shared" si="17"/>
        <v>0.9341875895077435</v>
      </c>
      <c r="T66" s="143">
        <f t="shared" si="18"/>
        <v>5.974179566464823</v>
      </c>
      <c r="U66" s="143">
        <f t="shared" si="19"/>
        <v>11.240294636517653</v>
      </c>
      <c r="V66" s="115" t="s">
        <v>190</v>
      </c>
    </row>
    <row r="67" spans="1:22" ht="33.75" customHeight="1" thickBot="1">
      <c r="A67" s="90">
        <v>59</v>
      </c>
      <c r="B67" s="91" t="s">
        <v>69</v>
      </c>
      <c r="C67" s="270" t="s">
        <v>289</v>
      </c>
      <c r="D67" s="159" t="s">
        <v>46</v>
      </c>
      <c r="F67" s="140">
        <f>'59'!F$30</f>
        <v>6.7279681279999997</v>
      </c>
      <c r="G67" s="141">
        <f>'59'!F$29</f>
        <v>123.3042574</v>
      </c>
      <c r="H67" s="141">
        <f>'59'!F$27</f>
        <v>363.86589989999999</v>
      </c>
      <c r="I67" s="116" t="str">
        <f>"pounds of TSS reduced
per "&amp;'BMP info'!E66&amp;"
per year"</f>
        <v>pounds of TSS reduced
per acre treated
per year</v>
      </c>
      <c r="J67" s="83"/>
      <c r="K67" s="105">
        <f>'59'!D$34</f>
        <v>459</v>
      </c>
      <c r="L67" s="116" t="str">
        <f>"per "&amp;'BMP info'!E66&amp;"
per year"</f>
        <v>per acre treated
per year</v>
      </c>
      <c r="M67" s="83"/>
      <c r="N67" s="140">
        <f>IF($K67=0,"-",1000*F67/$K67)</f>
        <v>14.657882631808278</v>
      </c>
      <c r="O67" s="141">
        <f>IF($K67=0,"-",1000*G67/$K67)</f>
        <v>268.6367263616558</v>
      </c>
      <c r="P67" s="141">
        <f>IF($K67=0,"-",1000*H67/$K67)</f>
        <v>792.73616535947701</v>
      </c>
      <c r="Q67" s="116" t="s">
        <v>137</v>
      </c>
      <c r="R67" s="83"/>
      <c r="S67" s="105">
        <f>IF($K67*H67=0,"-",$K67/H67)</f>
        <v>1.2614537392103669</v>
      </c>
      <c r="T67" s="146">
        <f>IF($K67*G67=0,"-",$K67/G67)</f>
        <v>3.7224992038271667</v>
      </c>
      <c r="U67" s="146">
        <f>IF($K67*F67=0,"-",$K67/F67)</f>
        <v>68.222677525739911</v>
      </c>
      <c r="V67" s="116" t="s">
        <v>190</v>
      </c>
    </row>
    <row r="68" spans="1:22" ht="13.5" thickTop="1"/>
    <row r="73" spans="1:22">
      <c r="A73" s="1" t="s">
        <v>297</v>
      </c>
    </row>
  </sheetData>
  <mergeCells count="5">
    <mergeCell ref="S1:V1"/>
    <mergeCell ref="N1:Q1"/>
    <mergeCell ref="A1:D1"/>
    <mergeCell ref="F1:I1"/>
    <mergeCell ref="K1:L1"/>
  </mergeCells>
  <phoneticPr fontId="1" type="noConversion"/>
  <hyperlinks>
    <hyperlink ref="C38" location="'36a'!A1" display="Septic Connection ― Critical Area"/>
    <hyperlink ref="C39" location="'36b'!A1" display="Septic Connection ― 1,000 feet of stream"/>
    <hyperlink ref="C40" location="'36c'!A1" display="Septic Connection ― other"/>
    <hyperlink ref="C25" location="'23'!A1" display="Nutrient Management"/>
    <hyperlink ref="C15" location="'13'!A1" display="Enhanced Nutrient Management"/>
    <hyperlink ref="C13" location="'11'!A1" display="Decision Agriculture"/>
    <hyperlink ref="C41" location="'37a'!A1" display="Septic Denitrification ― Critical Area"/>
    <hyperlink ref="C42" location="'37b'!A1" display="Septic Denitrification ― 1,000 feet of stream"/>
    <hyperlink ref="C43" location="'37c'!A1" display="Septic Denitrification ― other"/>
    <hyperlink ref="C44" location="'38a'!A1" display="Septic Pumping ― Critical Area"/>
    <hyperlink ref="C45" location="'38b'!A1" display="Septic Pumping ― 1,000 feet of stream"/>
    <hyperlink ref="C46" location="'38c'!A1" display="Septic Pumping ― other"/>
    <hyperlink ref="C5" location="'3'!A1" display="Barnyard Runoff Control"/>
    <hyperlink ref="C6" location="'4'!A1" display="Irrigation Water Capture Reuse"/>
    <hyperlink ref="C7" location="'5'!A1" display="Alternative Crops"/>
    <hyperlink ref="C11" location="'9'!A1" display="Cover Crop Standard Drilled Wheat"/>
    <hyperlink ref="C8" location="'6'!A1" display="Heavy Use Poultry Area Concrete Pads"/>
    <hyperlink ref="C9" location="'7'!A1" display="Soil Conservation and Water Quality Plans"/>
    <hyperlink ref="C3" location="'1'!A1" display="Poultry Litter Treatment (alum, for example)"/>
    <hyperlink ref="C4" location="'2'!A1" display="Animal Waste Management System"/>
    <hyperlink ref="C12" location="'10'!A1" display="Cropland Irrigation Management"/>
    <hyperlink ref="C14" location="'12'!A1" display="Sorbing Materials in Ag Ditches"/>
    <hyperlink ref="C16" location="'14'!A1" display="Forest Buffers"/>
    <hyperlink ref="C17" location="'15'!A1" display="Grass Buffers; Vegetated Open Channel - Agriculture"/>
    <hyperlink ref="C18" location="'16'!A1" display="Horse Pasture Management"/>
    <hyperlink ref="C19" location="'17'!A1" display="Land Retirement to hay without nutrients (HEL)"/>
    <hyperlink ref="C20" location="'18'!A1" display="Land Retirement to pasture (HEL)"/>
    <hyperlink ref="C21" location="'19'!A1" display="Dairy Manure Injection"/>
    <hyperlink ref="C22" location="'20'!A1" display="Loafing Lot Management"/>
    <hyperlink ref="C23" location="'21'!A1" display="Mortality Composters"/>
    <hyperlink ref="C24" location="'22'!A1" display="Non Urban Stream Restoration; Shoreline Erosion Control"/>
    <hyperlink ref="C26" location="'24'!A1" display="Off Stream Watering Without Fencing"/>
    <hyperlink ref="C27" location="'25'!A1" display="Stream Access Control with Fencing"/>
    <hyperlink ref="C28" location="'26'!A1" display="Poultry Litter Injection"/>
    <hyperlink ref="C29" location="'27'!A1" display="Poultry Phytase "/>
    <hyperlink ref="C30" location="'28'!A1" display="Prescribed Grazing"/>
    <hyperlink ref="C32" location="'30'!A1" display="Precision Intensive Rotational Grazing"/>
    <hyperlink ref="C33" location="'31'!A1" display="Water Control Structures"/>
    <hyperlink ref="C34" location="'32'!A1" display="Wetland Restoration"/>
    <hyperlink ref="C31" location="'29'!A1" display="Tree Planting; Vegetative Environmental Buffers ― Poultry"/>
    <hyperlink ref="C10" location="'8'!A1" display="Conservation Tillage - Percent of Acres"/>
    <hyperlink ref="C36" location="'34'!A1" display="Forest Harvesting Practices"/>
    <hyperlink ref="C37" location="'35'!A1" display="Set Permitted Load"/>
    <hyperlink ref="C35" location="'33'!A1" display="Manure Transport"/>
    <hyperlink ref="C55" location="'47'!A1" display="Urban Forest Buffers"/>
    <hyperlink ref="C47" location="'39'!A1" display="Abandoned Mine Reclamation"/>
    <hyperlink ref="C51" location="'43'!A1" display="Erosion and Sediment Control"/>
    <hyperlink ref="C52" location="'44'!A1" display="Erosion and Sediment Control on Extractive, excess applied to all other pervious urban"/>
    <hyperlink ref="C56" location="'48'!A1" display="Forest Conservation"/>
    <hyperlink ref="C57" location="'49'!A1" display="Impervious Urban Surface Reduction"/>
    <hyperlink ref="C65" location="'57'!A1" display="Urban Stream Restoration; Shoreline Erosion Control; Regenerative Stormwater Conveyance"/>
    <hyperlink ref="C64" location="'56'!A1" display="Urban Tree Planting; Urban Tree Canopy"/>
    <hyperlink ref="C63" location="'55'!A1" display="Urban Nutrient Management"/>
    <hyperlink ref="C48" location="'40'!A1" display="Bioretention/raingardens"/>
    <hyperlink ref="C49" location="'41'!A1" display="Bioswale"/>
    <hyperlink ref="C50" location="'42'!A1" display="Dry Detention Ponds and Hydrodynamic Structures"/>
    <hyperlink ref="C53" location="'45'!A1" display="Dry Extended Detention Ponds"/>
    <hyperlink ref="C54" location="'46'!A1" display="Urban Filtering Practices"/>
    <hyperlink ref="C58" location="'50'!A1" display="Urban Infiltration Practices - no sand\veg no under drain"/>
    <hyperlink ref="C59" location="'51'!A1" display="Urban Infiltration Practices - with sandveg no under drain"/>
    <hyperlink ref="C60" location="'52'!A1" display="Permeable Pavement w/ Sand, Veg. - A/B soils, underdrain"/>
    <hyperlink ref="C61" location="'53'!A1" display="MS4 Permit-Required Stormwater Retrofit"/>
    <hyperlink ref="C66" location="'58'!A1" display="Vegetated Open Channel - Urban"/>
    <hyperlink ref="C67" location="'59'!A1" display="Wet Ponds and Wetlands"/>
    <hyperlink ref="C62" location="'54'!A1" display="Street Sweeping 25 times a year-acres (formerly called Street Sweeping Mechanical Monthly)"/>
  </hyperlinks>
  <pageMargins left="0.75" right="0.75" top="1" bottom="1" header="0.5" footer="0.5"/>
  <pageSetup paperSize="5" scale="29"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73">
    <pageSetUpPr fitToPage="1"/>
  </sheetPr>
  <dimension ref="A1:V69"/>
  <sheetViews>
    <sheetView zoomScale="85" workbookViewId="0">
      <pane xSplit="4" ySplit="2" topLeftCell="E59" activePane="bottomRight" state="frozenSplit"/>
      <selection sqref="A1:B1"/>
      <selection pane="topRight" sqref="A1:B1"/>
      <selection pane="bottomLeft" sqref="A1:B1"/>
      <selection pane="bottomRight" activeCell="A69" sqref="A69"/>
    </sheetView>
  </sheetViews>
  <sheetFormatPr defaultRowHeight="12.75"/>
  <cols>
    <col min="1" max="1" width="7.7109375" style="1" bestFit="1" customWidth="1"/>
    <col min="2" max="2" width="9" style="1" customWidth="1"/>
    <col min="3" max="3" width="45.7109375" style="1" customWidth="1"/>
    <col min="4" max="4" width="21.140625" style="1" customWidth="1"/>
    <col min="5" max="5" width="4.28515625" style="17" customWidth="1"/>
    <col min="6" max="8" width="9.140625" style="59"/>
    <col min="9" max="9" width="20.28515625" style="1" bestFit="1" customWidth="1"/>
    <col min="10" max="10" width="4.28515625" style="17" customWidth="1"/>
    <col min="11" max="11" width="11.5703125" style="1" bestFit="1" customWidth="1"/>
    <col min="12" max="12" width="12.5703125" style="1" customWidth="1"/>
    <col min="13" max="13" width="4.28515625" style="17" customWidth="1"/>
    <col min="14" max="16" width="9.140625" style="59"/>
    <col min="17" max="17" width="8.85546875" style="1" bestFit="1" customWidth="1"/>
    <col min="18" max="18" width="4.28515625" style="17" customWidth="1"/>
    <col min="19" max="21" width="9.28515625" style="59" bestFit="1" customWidth="1"/>
    <col min="22" max="22" width="5.5703125" style="1" bestFit="1" customWidth="1"/>
    <col min="23" max="16384" width="9.140625" style="1"/>
  </cols>
  <sheetData>
    <row r="1" spans="1:22" ht="16.5" thickBot="1">
      <c r="A1" s="294" t="s">
        <v>216</v>
      </c>
      <c r="B1" s="295"/>
      <c r="C1" s="297"/>
      <c r="D1" s="297"/>
      <c r="F1" s="294" t="s">
        <v>192</v>
      </c>
      <c r="G1" s="295"/>
      <c r="H1" s="297"/>
      <c r="I1" s="297"/>
      <c r="K1" s="294" t="s">
        <v>193</v>
      </c>
      <c r="L1" s="295"/>
      <c r="N1" s="294" t="s">
        <v>259</v>
      </c>
      <c r="O1" s="295"/>
      <c r="P1" s="295"/>
      <c r="Q1" s="296"/>
      <c r="S1" s="294" t="s">
        <v>194</v>
      </c>
      <c r="T1" s="295"/>
      <c r="U1" s="295"/>
      <c r="V1" s="296"/>
    </row>
    <row r="2" spans="1:22" s="60" customFormat="1" ht="13.5" thickBot="1">
      <c r="A2" s="121" t="s">
        <v>0</v>
      </c>
      <c r="B2" s="122" t="s">
        <v>68</v>
      </c>
      <c r="C2" s="123" t="s">
        <v>71</v>
      </c>
      <c r="D2" s="124" t="s">
        <v>72</v>
      </c>
      <c r="E2" s="18"/>
      <c r="F2" s="117" t="s">
        <v>181</v>
      </c>
      <c r="G2" s="118" t="s">
        <v>182</v>
      </c>
      <c r="H2" s="118" t="s">
        <v>183</v>
      </c>
      <c r="I2" s="119" t="s">
        <v>79</v>
      </c>
      <c r="J2" s="18"/>
      <c r="K2" s="120" t="s">
        <v>191</v>
      </c>
      <c r="L2" s="119" t="s">
        <v>79</v>
      </c>
      <c r="M2" s="18"/>
      <c r="N2" s="117" t="s">
        <v>181</v>
      </c>
      <c r="O2" s="118" t="s">
        <v>182</v>
      </c>
      <c r="P2" s="118" t="s">
        <v>183</v>
      </c>
      <c r="Q2" s="119" t="s">
        <v>79</v>
      </c>
      <c r="R2" s="18"/>
      <c r="S2" s="117" t="s">
        <v>181</v>
      </c>
      <c r="T2" s="118" t="s">
        <v>182</v>
      </c>
      <c r="U2" s="118" t="s">
        <v>183</v>
      </c>
      <c r="V2" s="119" t="s">
        <v>79</v>
      </c>
    </row>
    <row r="3" spans="1:22" ht="33.75">
      <c r="A3" s="7">
        <v>1</v>
      </c>
      <c r="B3" s="11" t="s">
        <v>60</v>
      </c>
      <c r="C3" s="71" t="s">
        <v>115</v>
      </c>
      <c r="D3" s="125" t="s">
        <v>116</v>
      </c>
      <c r="F3" s="133">
        <f>'1'!M$30</f>
        <v>0</v>
      </c>
      <c r="G3" s="134">
        <f>'1'!M$29</f>
        <v>0</v>
      </c>
      <c r="H3" s="134">
        <f>'1'!M$27</f>
        <v>0</v>
      </c>
      <c r="I3" s="115" t="str">
        <f>"pounds of TSS reduced
per "&amp;'BMP info'!E2&amp;"
per year"</f>
        <v>pounds of TSS reduced
per animal unit
per year</v>
      </c>
      <c r="J3" s="83"/>
      <c r="K3" s="104">
        <f>'1'!D$34</f>
        <v>5</v>
      </c>
      <c r="L3" s="115" t="str">
        <f>"per "&amp;'BMP info'!E2&amp;"
per year"</f>
        <v>per animal unit
per year</v>
      </c>
      <c r="M3" s="83"/>
      <c r="N3" s="133">
        <f t="shared" ref="N3:N31" si="0">IF($K3=0,"-",1000*F3/$K3)</f>
        <v>0</v>
      </c>
      <c r="O3" s="134">
        <f t="shared" ref="O3:O31" si="1">IF($K3=0,"-",1000*G3/$K3)</f>
        <v>0</v>
      </c>
      <c r="P3" s="134">
        <f t="shared" ref="P3:P31" si="2">IF($K3=0,"-",1000*H3/$K3)</f>
        <v>0</v>
      </c>
      <c r="Q3" s="115" t="s">
        <v>137</v>
      </c>
      <c r="R3" s="83"/>
      <c r="S3" s="102" t="str">
        <f t="shared" ref="S3:S34" si="3">IF($K3*H3=0,"-",$K3/H3)</f>
        <v>-</v>
      </c>
      <c r="T3" s="142" t="str">
        <f t="shared" ref="T3:T34" si="4">IF($K3*G3=0,"-",$K3/G3)</f>
        <v>-</v>
      </c>
      <c r="U3" s="142" t="str">
        <f t="shared" ref="U3:U34" si="5">IF($K3*F3=0,"-",$K3/F3)</f>
        <v>-</v>
      </c>
      <c r="V3" s="115" t="s">
        <v>190</v>
      </c>
    </row>
    <row r="4" spans="1:22" ht="33.75">
      <c r="A4" s="8">
        <v>2</v>
      </c>
      <c r="B4" s="12" t="s">
        <v>60</v>
      </c>
      <c r="C4" s="71" t="s">
        <v>75</v>
      </c>
      <c r="D4" s="66" t="s">
        <v>76</v>
      </c>
      <c r="F4" s="133">
        <f>'2'!M$30</f>
        <v>0</v>
      </c>
      <c r="G4" s="134">
        <f>'2'!M$29</f>
        <v>0</v>
      </c>
      <c r="H4" s="134">
        <f>'2'!M$27</f>
        <v>0</v>
      </c>
      <c r="I4" s="115" t="str">
        <f>"pounds of TSS reduced
per "&amp;'BMP info'!E3&amp;"
per year"</f>
        <v>pounds of TSS reduced
per animal unit
per year</v>
      </c>
      <c r="J4" s="83"/>
      <c r="K4" s="104">
        <f>'2'!D$34</f>
        <v>23.2</v>
      </c>
      <c r="L4" s="115" t="str">
        <f>"per "&amp;'BMP info'!E3&amp;"
per year"</f>
        <v>per animal unit
per year</v>
      </c>
      <c r="M4" s="83"/>
      <c r="N4" s="133">
        <f t="shared" si="0"/>
        <v>0</v>
      </c>
      <c r="O4" s="134">
        <f t="shared" si="1"/>
        <v>0</v>
      </c>
      <c r="P4" s="134">
        <f t="shared" si="2"/>
        <v>0</v>
      </c>
      <c r="Q4" s="115" t="s">
        <v>137</v>
      </c>
      <c r="R4" s="83"/>
      <c r="S4" s="102" t="str">
        <f t="shared" si="3"/>
        <v>-</v>
      </c>
      <c r="T4" s="142" t="str">
        <f t="shared" si="4"/>
        <v>-</v>
      </c>
      <c r="U4" s="142" t="str">
        <f t="shared" si="5"/>
        <v>-</v>
      </c>
      <c r="V4" s="115" t="s">
        <v>190</v>
      </c>
    </row>
    <row r="5" spans="1:22" ht="33.75">
      <c r="A5" s="8">
        <v>3</v>
      </c>
      <c r="B5" s="12" t="s">
        <v>60</v>
      </c>
      <c r="C5" s="27" t="s">
        <v>77</v>
      </c>
      <c r="D5" s="66" t="s">
        <v>78</v>
      </c>
      <c r="F5" s="137">
        <f>'3'!M$30</f>
        <v>104</v>
      </c>
      <c r="G5" s="138">
        <f>'3'!M$29</f>
        <v>744</v>
      </c>
      <c r="H5" s="138">
        <f>'3'!M$27</f>
        <v>1385</v>
      </c>
      <c r="I5" s="115" t="str">
        <f>"pounds of TSS reduced
per "&amp;'BMP info'!E4&amp;"
per year"</f>
        <v>pounds of TSS reduced
per acre
per year</v>
      </c>
      <c r="J5" s="83"/>
      <c r="K5" s="103">
        <f>'3'!D$34</f>
        <v>570</v>
      </c>
      <c r="L5" s="115" t="str">
        <f>"per "&amp;'BMP info'!E4&amp;"
per year"</f>
        <v>per acre
per year</v>
      </c>
      <c r="M5" s="83"/>
      <c r="N5" s="135">
        <f t="shared" si="0"/>
        <v>182.45614035087721</v>
      </c>
      <c r="O5" s="136">
        <f t="shared" si="1"/>
        <v>1305.2631578947369</v>
      </c>
      <c r="P5" s="136">
        <f t="shared" si="2"/>
        <v>2429.8245614035086</v>
      </c>
      <c r="Q5" s="115" t="s">
        <v>137</v>
      </c>
      <c r="R5" s="83"/>
      <c r="S5" s="103">
        <f t="shared" si="3"/>
        <v>0.41155234657039713</v>
      </c>
      <c r="T5" s="143">
        <f t="shared" si="4"/>
        <v>0.7661290322580645</v>
      </c>
      <c r="U5" s="143">
        <f t="shared" si="5"/>
        <v>5.4807692307692308</v>
      </c>
      <c r="V5" s="115" t="s">
        <v>190</v>
      </c>
    </row>
    <row r="6" spans="1:22" ht="33.75">
      <c r="A6" s="8">
        <v>4</v>
      </c>
      <c r="B6" s="12" t="s">
        <v>60</v>
      </c>
      <c r="C6" s="71" t="s">
        <v>98</v>
      </c>
      <c r="D6" s="66" t="s">
        <v>99</v>
      </c>
      <c r="F6" s="137">
        <f>'4'!M$30</f>
        <v>0</v>
      </c>
      <c r="G6" s="138">
        <f>'4'!M$29</f>
        <v>0</v>
      </c>
      <c r="H6" s="138">
        <f>'4'!M$27</f>
        <v>0</v>
      </c>
      <c r="I6" s="115" t="str">
        <f>"pounds of TSS reduced
per "&amp;'BMP info'!E5&amp;"
per year"</f>
        <v>pounds of TSS reduced
per acre
per year</v>
      </c>
      <c r="J6" s="83"/>
      <c r="K6" s="104">
        <f>'4'!D$34</f>
        <v>500</v>
      </c>
      <c r="L6" s="115" t="str">
        <f>"per "&amp;'BMP info'!E5&amp;"
per year"</f>
        <v>per acre
per year</v>
      </c>
      <c r="M6" s="83"/>
      <c r="N6" s="137">
        <f t="shared" si="0"/>
        <v>0</v>
      </c>
      <c r="O6" s="138">
        <f t="shared" si="1"/>
        <v>0</v>
      </c>
      <c r="P6" s="138">
        <f t="shared" si="2"/>
        <v>0</v>
      </c>
      <c r="Q6" s="115" t="s">
        <v>137</v>
      </c>
      <c r="R6" s="83"/>
      <c r="S6" s="104" t="str">
        <f t="shared" si="3"/>
        <v>-</v>
      </c>
      <c r="T6" s="144" t="str">
        <f t="shared" si="4"/>
        <v>-</v>
      </c>
      <c r="U6" s="144" t="str">
        <f t="shared" si="5"/>
        <v>-</v>
      </c>
      <c r="V6" s="115" t="s">
        <v>190</v>
      </c>
    </row>
    <row r="7" spans="1:22" ht="33.75">
      <c r="A7" s="8">
        <v>5</v>
      </c>
      <c r="B7" s="12" t="s">
        <v>60</v>
      </c>
      <c r="C7" s="71" t="s">
        <v>73</v>
      </c>
      <c r="D7" s="66" t="s">
        <v>74</v>
      </c>
      <c r="F7" s="137">
        <f>'5'!M$30</f>
        <v>89</v>
      </c>
      <c r="G7" s="138">
        <f>'5'!M$29</f>
        <v>191</v>
      </c>
      <c r="H7" s="138">
        <f>'5'!M$27</f>
        <v>296</v>
      </c>
      <c r="I7" s="115" t="str">
        <f>"pounds of TSS reduced
per "&amp;'BMP info'!E6&amp;"
per year"</f>
        <v>pounds of TSS reduced
per acre
per year</v>
      </c>
      <c r="J7" s="83"/>
      <c r="K7" s="104">
        <f>'5'!D$34</f>
        <v>18.100000000000001</v>
      </c>
      <c r="L7" s="115" t="str">
        <f>"per "&amp;'BMP info'!E6&amp;"
per year"</f>
        <v>per acre
per year</v>
      </c>
      <c r="M7" s="83"/>
      <c r="N7" s="137">
        <f t="shared" si="0"/>
        <v>4917.1270718232045</v>
      </c>
      <c r="O7" s="138">
        <f t="shared" si="1"/>
        <v>10552.486187845303</v>
      </c>
      <c r="P7" s="138">
        <f t="shared" si="2"/>
        <v>16353.591160220993</v>
      </c>
      <c r="Q7" s="115" t="s">
        <v>137</v>
      </c>
      <c r="R7" s="83"/>
      <c r="S7" s="104">
        <f t="shared" si="3"/>
        <v>6.1148648648648656E-2</v>
      </c>
      <c r="T7" s="144">
        <f t="shared" si="4"/>
        <v>9.4764397905759176E-2</v>
      </c>
      <c r="U7" s="144">
        <f t="shared" si="5"/>
        <v>0.20337078651685395</v>
      </c>
      <c r="V7" s="115" t="s">
        <v>190</v>
      </c>
    </row>
    <row r="8" spans="1:22" ht="33.75">
      <c r="A8" s="8">
        <v>6</v>
      </c>
      <c r="B8" s="12" t="s">
        <v>60</v>
      </c>
      <c r="C8" s="71" t="s">
        <v>94</v>
      </c>
      <c r="D8" s="66" t="s">
        <v>95</v>
      </c>
      <c r="F8" s="137">
        <f>'6'!M$30</f>
        <v>12</v>
      </c>
      <c r="G8" s="138">
        <f>'6'!M$29</f>
        <v>30</v>
      </c>
      <c r="H8" s="138">
        <f>'6'!M$27</f>
        <v>104</v>
      </c>
      <c r="I8" s="115" t="str">
        <f>"pounds of TSS reduced
per "&amp;'BMP info'!E7&amp;"
per year"</f>
        <v>pounds of TSS reduced
per acre
per year</v>
      </c>
      <c r="J8" s="83"/>
      <c r="K8" s="104">
        <f>'6'!D$34</f>
        <v>350</v>
      </c>
      <c r="L8" s="115" t="str">
        <f>"per "&amp;'BMP info'!E7&amp;"
per year"</f>
        <v>per acre
per year</v>
      </c>
      <c r="M8" s="83"/>
      <c r="N8" s="137">
        <f t="shared" si="0"/>
        <v>34.285714285714285</v>
      </c>
      <c r="O8" s="138">
        <f t="shared" si="1"/>
        <v>85.714285714285708</v>
      </c>
      <c r="P8" s="138">
        <f t="shared" si="2"/>
        <v>297.14285714285717</v>
      </c>
      <c r="Q8" s="115" t="s">
        <v>137</v>
      </c>
      <c r="R8" s="83"/>
      <c r="S8" s="104">
        <f t="shared" si="3"/>
        <v>3.3653846153846154</v>
      </c>
      <c r="T8" s="144">
        <f t="shared" si="4"/>
        <v>11.666666666666666</v>
      </c>
      <c r="U8" s="144">
        <f t="shared" si="5"/>
        <v>29.166666666666668</v>
      </c>
      <c r="V8" s="115" t="s">
        <v>190</v>
      </c>
    </row>
    <row r="9" spans="1:22" ht="33.75">
      <c r="A9" s="8">
        <v>7</v>
      </c>
      <c r="B9" s="12" t="s">
        <v>60</v>
      </c>
      <c r="C9" s="27" t="s">
        <v>123</v>
      </c>
      <c r="D9" s="66" t="s">
        <v>124</v>
      </c>
      <c r="F9" s="137">
        <f>'7'!M$30</f>
        <v>7</v>
      </c>
      <c r="G9" s="138">
        <f>'7'!M$29</f>
        <v>24</v>
      </c>
      <c r="H9" s="138">
        <f>'7'!M$27</f>
        <v>87</v>
      </c>
      <c r="I9" s="115" t="str">
        <f>"pounds of TSS reduced
per "&amp;'BMP info'!E8&amp;"
per year"</f>
        <v>pounds of TSS reduced
per acre
per year</v>
      </c>
      <c r="J9" s="83"/>
      <c r="K9" s="103">
        <f>'7'!D$34</f>
        <v>45</v>
      </c>
      <c r="L9" s="115" t="str">
        <f>"per "&amp;'BMP info'!E8&amp;"
per year"</f>
        <v>per acre
per year</v>
      </c>
      <c r="M9" s="83"/>
      <c r="N9" s="135">
        <f t="shared" si="0"/>
        <v>155.55555555555554</v>
      </c>
      <c r="O9" s="136">
        <f t="shared" si="1"/>
        <v>533.33333333333337</v>
      </c>
      <c r="P9" s="136">
        <f t="shared" si="2"/>
        <v>1933.3333333333333</v>
      </c>
      <c r="Q9" s="115" t="s">
        <v>137</v>
      </c>
      <c r="R9" s="83"/>
      <c r="S9" s="103">
        <f t="shared" si="3"/>
        <v>0.51724137931034486</v>
      </c>
      <c r="T9" s="143">
        <f t="shared" si="4"/>
        <v>1.875</v>
      </c>
      <c r="U9" s="143">
        <f t="shared" si="5"/>
        <v>6.4285714285714288</v>
      </c>
      <c r="V9" s="115" t="s">
        <v>190</v>
      </c>
    </row>
    <row r="10" spans="1:22" ht="33.75">
      <c r="A10" s="8">
        <v>8</v>
      </c>
      <c r="B10" s="12" t="s">
        <v>60</v>
      </c>
      <c r="C10" s="27" t="s">
        <v>188</v>
      </c>
      <c r="D10" s="66" t="s">
        <v>187</v>
      </c>
      <c r="F10" s="137">
        <f>'8'!M$30</f>
        <v>8</v>
      </c>
      <c r="G10" s="138">
        <f>'8'!M$29</f>
        <v>26</v>
      </c>
      <c r="H10" s="138">
        <f>'8'!M$27</f>
        <v>228</v>
      </c>
      <c r="I10" s="115" t="str">
        <f>"pounds of TSS reduced
per "&amp;'BMP info'!E9&amp;"
per year"</f>
        <v>pounds of TSS reduced
per acre
per year</v>
      </c>
      <c r="J10" s="83"/>
      <c r="K10" s="103">
        <f>'8'!D$34</f>
        <v>23</v>
      </c>
      <c r="L10" s="115" t="str">
        <f>"per "&amp;'BMP info'!E9&amp;"
per year"</f>
        <v>per acre
per year</v>
      </c>
      <c r="M10" s="83"/>
      <c r="N10" s="135">
        <f t="shared" si="0"/>
        <v>347.82608695652175</v>
      </c>
      <c r="O10" s="136">
        <f t="shared" si="1"/>
        <v>1130.4347826086957</v>
      </c>
      <c r="P10" s="136">
        <f t="shared" si="2"/>
        <v>9913.04347826087</v>
      </c>
      <c r="Q10" s="115" t="s">
        <v>137</v>
      </c>
      <c r="R10" s="83"/>
      <c r="S10" s="103">
        <f t="shared" si="3"/>
        <v>0.10087719298245613</v>
      </c>
      <c r="T10" s="143">
        <f t="shared" si="4"/>
        <v>0.88461538461538458</v>
      </c>
      <c r="U10" s="143">
        <f t="shared" si="5"/>
        <v>2.875</v>
      </c>
      <c r="V10" s="115" t="s">
        <v>190</v>
      </c>
    </row>
    <row r="11" spans="1:22" ht="33.75">
      <c r="A11" s="8">
        <v>9</v>
      </c>
      <c r="B11" s="12" t="s">
        <v>60</v>
      </c>
      <c r="C11" s="27" t="s">
        <v>80</v>
      </c>
      <c r="D11" s="66" t="s">
        <v>81</v>
      </c>
      <c r="F11" s="137">
        <f>'9'!M$30</f>
        <v>0</v>
      </c>
      <c r="G11" s="138">
        <f>'9'!M$29</f>
        <v>3</v>
      </c>
      <c r="H11" s="138">
        <f>'9'!M$27</f>
        <v>64</v>
      </c>
      <c r="I11" s="115" t="str">
        <f>"pounds of TSS reduced
per "&amp;'BMP info'!E10&amp;"
per year"</f>
        <v>pounds of TSS reduced
per acre
per year</v>
      </c>
      <c r="J11" s="83"/>
      <c r="K11" s="103">
        <f>'9'!D$34</f>
        <v>50.42</v>
      </c>
      <c r="L11" s="115" t="str">
        <f>"per "&amp;'BMP info'!E10&amp;"
per year"</f>
        <v>per acre
per year</v>
      </c>
      <c r="M11" s="83"/>
      <c r="N11" s="135">
        <f t="shared" si="0"/>
        <v>0</v>
      </c>
      <c r="O11" s="136">
        <f t="shared" si="1"/>
        <v>59.500198333994447</v>
      </c>
      <c r="P11" s="136">
        <f t="shared" si="2"/>
        <v>1269.3375644585481</v>
      </c>
      <c r="Q11" s="115" t="s">
        <v>137</v>
      </c>
      <c r="R11" s="83"/>
      <c r="S11" s="103">
        <f t="shared" si="3"/>
        <v>0.78781250000000003</v>
      </c>
      <c r="T11" s="143">
        <f t="shared" si="4"/>
        <v>16.806666666666668</v>
      </c>
      <c r="U11" s="143" t="str">
        <f t="shared" si="5"/>
        <v>-</v>
      </c>
      <c r="V11" s="115" t="s">
        <v>190</v>
      </c>
    </row>
    <row r="12" spans="1:22" ht="33.75">
      <c r="A12" s="8">
        <v>10</v>
      </c>
      <c r="B12" s="12" t="s">
        <v>60</v>
      </c>
      <c r="C12" s="27" t="s">
        <v>82</v>
      </c>
      <c r="D12" s="66" t="s">
        <v>83</v>
      </c>
      <c r="F12" s="137">
        <f>'10'!M$30</f>
        <v>0</v>
      </c>
      <c r="G12" s="138">
        <f>'10'!M$29</f>
        <v>0</v>
      </c>
      <c r="H12" s="138">
        <f>'10'!M$27</f>
        <v>0</v>
      </c>
      <c r="I12" s="115" t="str">
        <f>"pounds of TSS reduced
per "&amp;'BMP info'!E11&amp;"
per year"</f>
        <v>pounds of TSS reduced
per acre
per year</v>
      </c>
      <c r="J12" s="83"/>
      <c r="K12" s="103">
        <f>'10'!D$34</f>
        <v>960</v>
      </c>
      <c r="L12" s="115" t="str">
        <f>"per "&amp;'BMP info'!E11&amp;"
per year"</f>
        <v>per acre
per year</v>
      </c>
      <c r="M12" s="83"/>
      <c r="N12" s="135">
        <f t="shared" si="0"/>
        <v>0</v>
      </c>
      <c r="O12" s="136">
        <f t="shared" si="1"/>
        <v>0</v>
      </c>
      <c r="P12" s="136">
        <f t="shared" si="2"/>
        <v>0</v>
      </c>
      <c r="Q12" s="115" t="s">
        <v>137</v>
      </c>
      <c r="R12" s="83"/>
      <c r="S12" s="103" t="str">
        <f t="shared" si="3"/>
        <v>-</v>
      </c>
      <c r="T12" s="143" t="str">
        <f t="shared" si="4"/>
        <v>-</v>
      </c>
      <c r="U12" s="143" t="str">
        <f t="shared" si="5"/>
        <v>-</v>
      </c>
      <c r="V12" s="115" t="s">
        <v>190</v>
      </c>
    </row>
    <row r="13" spans="1:22" ht="33.75">
      <c r="A13" s="8">
        <v>11</v>
      </c>
      <c r="B13" s="12" t="s">
        <v>60</v>
      </c>
      <c r="C13" s="71" t="s">
        <v>86</v>
      </c>
      <c r="D13" s="66" t="s">
        <v>87</v>
      </c>
      <c r="F13" s="137">
        <f>'11'!M$30</f>
        <v>1</v>
      </c>
      <c r="G13" s="138">
        <f>'11'!M$29</f>
        <v>2</v>
      </c>
      <c r="H13" s="138">
        <f>'11'!M$27</f>
        <v>4</v>
      </c>
      <c r="I13" s="115" t="str">
        <f>"pounds of TSS reduced
per "&amp;'BMP info'!E12&amp;"
per year"</f>
        <v>pounds of TSS reduced
per acre
per year</v>
      </c>
      <c r="J13" s="83"/>
      <c r="K13" s="103">
        <f>'11'!D$34</f>
        <v>13.712</v>
      </c>
      <c r="L13" s="115" t="str">
        <f>"per "&amp;'BMP info'!E12&amp;"
per year"</f>
        <v>per acre
per year</v>
      </c>
      <c r="M13" s="83"/>
      <c r="N13" s="135">
        <f t="shared" si="0"/>
        <v>72.92882147024504</v>
      </c>
      <c r="O13" s="136">
        <f t="shared" si="1"/>
        <v>145.85764294049008</v>
      </c>
      <c r="P13" s="136">
        <f t="shared" si="2"/>
        <v>291.71528588098016</v>
      </c>
      <c r="Q13" s="115" t="s">
        <v>137</v>
      </c>
      <c r="R13" s="83"/>
      <c r="S13" s="103">
        <f t="shared" si="3"/>
        <v>3.4279999999999999</v>
      </c>
      <c r="T13" s="143">
        <f t="shared" si="4"/>
        <v>6.8559999999999999</v>
      </c>
      <c r="U13" s="143">
        <f t="shared" si="5"/>
        <v>13.712</v>
      </c>
      <c r="V13" s="115" t="s">
        <v>190</v>
      </c>
    </row>
    <row r="14" spans="1:22" ht="33.75">
      <c r="A14" s="8">
        <v>12</v>
      </c>
      <c r="B14" s="12" t="s">
        <v>60</v>
      </c>
      <c r="C14" s="27" t="s">
        <v>65</v>
      </c>
      <c r="D14" s="66" t="s">
        <v>125</v>
      </c>
      <c r="F14" s="137">
        <f>'12'!M$30</f>
        <v>0</v>
      </c>
      <c r="G14" s="138">
        <f>'12'!M$29</f>
        <v>0</v>
      </c>
      <c r="H14" s="138">
        <f>'12'!M$27</f>
        <v>0</v>
      </c>
      <c r="I14" s="115" t="str">
        <f>"pounds of TSS reduced
per "&amp;'BMP info'!E13&amp;"
per year"</f>
        <v>pounds of TSS reduced
per acre
per year</v>
      </c>
      <c r="J14" s="83"/>
      <c r="K14" s="103">
        <f>'12'!D$34</f>
        <v>125</v>
      </c>
      <c r="L14" s="115" t="str">
        <f>"per "&amp;'BMP info'!E13&amp;"
per year"</f>
        <v>per acre
per year</v>
      </c>
      <c r="M14" s="83"/>
      <c r="N14" s="135">
        <f t="shared" si="0"/>
        <v>0</v>
      </c>
      <c r="O14" s="136">
        <f t="shared" si="1"/>
        <v>0</v>
      </c>
      <c r="P14" s="136">
        <f t="shared" si="2"/>
        <v>0</v>
      </c>
      <c r="Q14" s="115" t="s">
        <v>137</v>
      </c>
      <c r="R14" s="83"/>
      <c r="S14" s="103" t="str">
        <f t="shared" si="3"/>
        <v>-</v>
      </c>
      <c r="T14" s="143" t="str">
        <f t="shared" si="4"/>
        <v>-</v>
      </c>
      <c r="U14" s="143" t="str">
        <f t="shared" si="5"/>
        <v>-</v>
      </c>
      <c r="V14" s="115" t="s">
        <v>190</v>
      </c>
    </row>
    <row r="15" spans="1:22" ht="33.75">
      <c r="A15" s="8">
        <v>13</v>
      </c>
      <c r="B15" s="12" t="s">
        <v>60</v>
      </c>
      <c r="C15" s="71" t="s">
        <v>88</v>
      </c>
      <c r="D15" s="66" t="s">
        <v>89</v>
      </c>
      <c r="F15" s="137">
        <f>'13'!M$30</f>
        <v>1</v>
      </c>
      <c r="G15" s="138">
        <f>'13'!M$29</f>
        <v>2</v>
      </c>
      <c r="H15" s="138">
        <f>'13'!M$27</f>
        <v>4</v>
      </c>
      <c r="I15" s="115" t="str">
        <f>"pounds of TSS reduced
per "&amp;'BMP info'!E14&amp;"
per year"</f>
        <v>pounds of TSS reduced
per acre
per year</v>
      </c>
      <c r="J15" s="83"/>
      <c r="K15" s="103">
        <f>'13'!D$34</f>
        <v>10</v>
      </c>
      <c r="L15" s="115" t="str">
        <f>"per "&amp;'BMP info'!E14&amp;"
per year"</f>
        <v>per acre
per year</v>
      </c>
      <c r="M15" s="83"/>
      <c r="N15" s="135">
        <f t="shared" si="0"/>
        <v>100</v>
      </c>
      <c r="O15" s="136">
        <f t="shared" si="1"/>
        <v>200</v>
      </c>
      <c r="P15" s="136">
        <f t="shared" si="2"/>
        <v>400</v>
      </c>
      <c r="Q15" s="115" t="s">
        <v>137</v>
      </c>
      <c r="R15" s="83"/>
      <c r="S15" s="103">
        <f t="shared" si="3"/>
        <v>2.5</v>
      </c>
      <c r="T15" s="143">
        <f t="shared" si="4"/>
        <v>5</v>
      </c>
      <c r="U15" s="143">
        <f t="shared" si="5"/>
        <v>10</v>
      </c>
      <c r="V15" s="115" t="s">
        <v>190</v>
      </c>
    </row>
    <row r="16" spans="1:22" ht="33.75">
      <c r="A16" s="8">
        <v>14</v>
      </c>
      <c r="B16" s="12" t="s">
        <v>60</v>
      </c>
      <c r="C16" s="71" t="s">
        <v>90</v>
      </c>
      <c r="D16" s="66" t="s">
        <v>91</v>
      </c>
      <c r="F16" s="137">
        <f>'14'!M$30</f>
        <v>133</v>
      </c>
      <c r="G16" s="138">
        <f>'14'!M$29</f>
        <v>453</v>
      </c>
      <c r="H16" s="138">
        <f>'14'!M$27</f>
        <v>2245</v>
      </c>
      <c r="I16" s="115" t="str">
        <f>"pounds of TSS reduced
per "&amp;'BMP info'!E15&amp;"
per year"</f>
        <v>pounds of TSS reduced
per acre
per year</v>
      </c>
      <c r="J16" s="83"/>
      <c r="K16" s="103">
        <f>'14'!D$34</f>
        <v>353</v>
      </c>
      <c r="L16" s="115" t="str">
        <f>"per "&amp;'BMP info'!E15&amp;"
per year"</f>
        <v>per acre
per year</v>
      </c>
      <c r="M16" s="83"/>
      <c r="N16" s="135">
        <f t="shared" si="0"/>
        <v>376.77053824362605</v>
      </c>
      <c r="O16" s="136">
        <f t="shared" si="1"/>
        <v>1283.2861189801699</v>
      </c>
      <c r="P16" s="136">
        <f t="shared" si="2"/>
        <v>6359.7733711048159</v>
      </c>
      <c r="Q16" s="115" t="s">
        <v>137</v>
      </c>
      <c r="R16" s="83"/>
      <c r="S16" s="103">
        <f t="shared" si="3"/>
        <v>0.15723830734966593</v>
      </c>
      <c r="T16" s="143">
        <f t="shared" si="4"/>
        <v>0.77924944812362029</v>
      </c>
      <c r="U16" s="143">
        <f t="shared" si="5"/>
        <v>2.6541353383458648</v>
      </c>
      <c r="V16" s="115" t="s">
        <v>190</v>
      </c>
    </row>
    <row r="17" spans="1:22" ht="33.75">
      <c r="A17" s="8">
        <v>15</v>
      </c>
      <c r="B17" s="12" t="s">
        <v>60</v>
      </c>
      <c r="C17" s="71" t="s">
        <v>92</v>
      </c>
      <c r="D17" s="66" t="s">
        <v>93</v>
      </c>
      <c r="F17" s="137">
        <f>'15'!M$30</f>
        <v>135</v>
      </c>
      <c r="G17" s="138">
        <f>'15'!M$29</f>
        <v>217</v>
      </c>
      <c r="H17" s="138">
        <f>'15'!M$27</f>
        <v>841</v>
      </c>
      <c r="I17" s="115" t="str">
        <f>"pounds of TSS reduced
per "&amp;'BMP info'!E16&amp;"
per year"</f>
        <v>pounds of TSS reduced
per acre
per year</v>
      </c>
      <c r="J17" s="83"/>
      <c r="K17" s="103">
        <f>'15'!D$34</f>
        <v>210.56666666666666</v>
      </c>
      <c r="L17" s="115" t="str">
        <f>"per "&amp;'BMP info'!E16&amp;"
per year"</f>
        <v>per acre
per year</v>
      </c>
      <c r="M17" s="83"/>
      <c r="N17" s="135">
        <f t="shared" si="0"/>
        <v>641.12711730251704</v>
      </c>
      <c r="O17" s="136">
        <f t="shared" si="1"/>
        <v>1030.5524774418236</v>
      </c>
      <c r="P17" s="136">
        <f t="shared" si="2"/>
        <v>3993.9844863067915</v>
      </c>
      <c r="Q17" s="115" t="s">
        <v>137</v>
      </c>
      <c r="R17" s="83"/>
      <c r="S17" s="103">
        <f t="shared" si="3"/>
        <v>0.25037653586999603</v>
      </c>
      <c r="T17" s="143">
        <f t="shared" si="4"/>
        <v>0.9703533026113671</v>
      </c>
      <c r="U17" s="143">
        <f t="shared" si="5"/>
        <v>1.5597530864197531</v>
      </c>
      <c r="V17" s="115" t="s">
        <v>190</v>
      </c>
    </row>
    <row r="18" spans="1:22" ht="33.75">
      <c r="A18" s="8">
        <v>16</v>
      </c>
      <c r="B18" s="12" t="s">
        <v>60</v>
      </c>
      <c r="C18" s="27" t="s">
        <v>96</v>
      </c>
      <c r="D18" s="66" t="s">
        <v>97</v>
      </c>
      <c r="F18" s="137">
        <f>'16'!M$30</f>
        <v>1</v>
      </c>
      <c r="G18" s="138">
        <f>'16'!M$29</f>
        <v>13</v>
      </c>
      <c r="H18" s="138">
        <f>'16'!M$27</f>
        <v>183</v>
      </c>
      <c r="I18" s="115" t="str">
        <f>"pounds of TSS reduced
per "&amp;'BMP info'!E17&amp;"
per year"</f>
        <v>pounds of TSS reduced
per acre
per year</v>
      </c>
      <c r="J18" s="83"/>
      <c r="K18" s="103">
        <f>'16'!D$34</f>
        <v>600</v>
      </c>
      <c r="L18" s="115" t="str">
        <f>"per "&amp;'BMP info'!E17&amp;"
per year"</f>
        <v>per acre
per year</v>
      </c>
      <c r="M18" s="83"/>
      <c r="N18" s="135">
        <f t="shared" si="0"/>
        <v>1.6666666666666667</v>
      </c>
      <c r="O18" s="136">
        <f t="shared" si="1"/>
        <v>21.666666666666668</v>
      </c>
      <c r="P18" s="136">
        <f t="shared" si="2"/>
        <v>305</v>
      </c>
      <c r="Q18" s="115" t="s">
        <v>137</v>
      </c>
      <c r="R18" s="83"/>
      <c r="S18" s="103">
        <f t="shared" si="3"/>
        <v>3.278688524590164</v>
      </c>
      <c r="T18" s="143">
        <f t="shared" si="4"/>
        <v>46.153846153846153</v>
      </c>
      <c r="U18" s="143">
        <f t="shared" si="5"/>
        <v>600</v>
      </c>
      <c r="V18" s="115" t="s">
        <v>190</v>
      </c>
    </row>
    <row r="19" spans="1:22" ht="33.75">
      <c r="A19" s="8">
        <v>17</v>
      </c>
      <c r="B19" s="12" t="s">
        <v>60</v>
      </c>
      <c r="C19" s="27" t="s">
        <v>100</v>
      </c>
      <c r="D19" s="66" t="s">
        <v>101</v>
      </c>
      <c r="F19" s="137">
        <f>'17'!M$30</f>
        <v>45</v>
      </c>
      <c r="G19" s="138">
        <f>'17'!M$29</f>
        <v>216</v>
      </c>
      <c r="H19" s="138">
        <f>'17'!M$27</f>
        <v>702</v>
      </c>
      <c r="I19" s="115" t="str">
        <f>"pounds of TSS reduced
per "&amp;'BMP info'!E18&amp;"
per year"</f>
        <v>pounds of TSS reduced
per acre
per year</v>
      </c>
      <c r="J19" s="83"/>
      <c r="K19" s="103">
        <f>'17'!D$34</f>
        <v>158.2175</v>
      </c>
      <c r="L19" s="115" t="str">
        <f>"per "&amp;'BMP info'!E18&amp;"
per year"</f>
        <v>per acre
per year</v>
      </c>
      <c r="M19" s="83"/>
      <c r="N19" s="135">
        <f t="shared" si="0"/>
        <v>284.41860097650385</v>
      </c>
      <c r="O19" s="136">
        <f t="shared" si="1"/>
        <v>1365.2092846872185</v>
      </c>
      <c r="P19" s="136">
        <f t="shared" si="2"/>
        <v>4436.9301752334604</v>
      </c>
      <c r="Q19" s="115" t="s">
        <v>137</v>
      </c>
      <c r="R19" s="83"/>
      <c r="S19" s="103">
        <f t="shared" si="3"/>
        <v>0.22538105413105414</v>
      </c>
      <c r="T19" s="143">
        <f t="shared" si="4"/>
        <v>0.73248842592592589</v>
      </c>
      <c r="U19" s="143">
        <f t="shared" si="5"/>
        <v>3.5159444444444445</v>
      </c>
      <c r="V19" s="115" t="s">
        <v>190</v>
      </c>
    </row>
    <row r="20" spans="1:22" ht="33.75">
      <c r="A20" s="8">
        <v>18</v>
      </c>
      <c r="B20" s="12" t="s">
        <v>60</v>
      </c>
      <c r="C20" s="27" t="s">
        <v>102</v>
      </c>
      <c r="D20" s="66" t="s">
        <v>103</v>
      </c>
      <c r="F20" s="137">
        <f>'18'!M$30</f>
        <v>140</v>
      </c>
      <c r="G20" s="138">
        <f>'18'!M$29</f>
        <v>417</v>
      </c>
      <c r="H20" s="138">
        <f>'18'!M$27</f>
        <v>1536</v>
      </c>
      <c r="I20" s="115" t="str">
        <f>"pounds of TSS reduced
per "&amp;'BMP info'!E19&amp;"
per year"</f>
        <v>pounds of TSS reduced
per acre
per year</v>
      </c>
      <c r="J20" s="83"/>
      <c r="K20" s="103">
        <f>'18'!D$34</f>
        <v>158.2175</v>
      </c>
      <c r="L20" s="115" t="str">
        <f>"per "&amp;'BMP info'!E19&amp;"
per year"</f>
        <v>per acre
per year</v>
      </c>
      <c r="M20" s="83"/>
      <c r="N20" s="135">
        <f t="shared" si="0"/>
        <v>884.85786970467871</v>
      </c>
      <c r="O20" s="136">
        <f t="shared" si="1"/>
        <v>2635.6123690489358</v>
      </c>
      <c r="P20" s="136">
        <f t="shared" si="2"/>
        <v>9708.154913331331</v>
      </c>
      <c r="Q20" s="115" t="s">
        <v>137</v>
      </c>
      <c r="R20" s="83"/>
      <c r="S20" s="103">
        <f t="shared" si="3"/>
        <v>0.10300618489583334</v>
      </c>
      <c r="T20" s="143">
        <f t="shared" si="4"/>
        <v>0.37941846522781775</v>
      </c>
      <c r="U20" s="143">
        <f t="shared" si="5"/>
        <v>1.130125</v>
      </c>
      <c r="V20" s="115" t="s">
        <v>190</v>
      </c>
    </row>
    <row r="21" spans="1:22" ht="33.75">
      <c r="A21" s="8">
        <v>19</v>
      </c>
      <c r="B21" s="12" t="s">
        <v>60</v>
      </c>
      <c r="C21" s="27" t="s">
        <v>256</v>
      </c>
      <c r="D21" s="66" t="s">
        <v>85</v>
      </c>
      <c r="F21" s="137">
        <f>'19'!M$30</f>
        <v>0</v>
      </c>
      <c r="G21" s="138">
        <f>'19'!M$29</f>
        <v>0</v>
      </c>
      <c r="H21" s="138">
        <f>'19'!M$27</f>
        <v>0</v>
      </c>
      <c r="I21" s="115" t="str">
        <f>"pounds of TSS reduced
per "&amp;'BMP info'!E20&amp;"
per year"</f>
        <v>pounds of TSS reduced
per acre
per year</v>
      </c>
      <c r="J21" s="83"/>
      <c r="K21" s="103">
        <f>'19'!D$34</f>
        <v>56</v>
      </c>
      <c r="L21" s="115" t="str">
        <f>"per "&amp;'BMP info'!E20&amp;"
per year"</f>
        <v>per acre
per year</v>
      </c>
      <c r="M21" s="83"/>
      <c r="N21" s="135">
        <f t="shared" si="0"/>
        <v>0</v>
      </c>
      <c r="O21" s="136">
        <f t="shared" si="1"/>
        <v>0</v>
      </c>
      <c r="P21" s="136">
        <f t="shared" si="2"/>
        <v>0</v>
      </c>
      <c r="Q21" s="115" t="s">
        <v>137</v>
      </c>
      <c r="R21" s="83"/>
      <c r="S21" s="103" t="str">
        <f t="shared" si="3"/>
        <v>-</v>
      </c>
      <c r="T21" s="143" t="str">
        <f t="shared" si="4"/>
        <v>-</v>
      </c>
      <c r="U21" s="143" t="str">
        <f t="shared" si="5"/>
        <v>-</v>
      </c>
      <c r="V21" s="115" t="s">
        <v>190</v>
      </c>
    </row>
    <row r="22" spans="1:22" ht="33.75">
      <c r="A22" s="8">
        <v>20</v>
      </c>
      <c r="B22" s="12" t="s">
        <v>60</v>
      </c>
      <c r="C22" s="27" t="s">
        <v>104</v>
      </c>
      <c r="D22" s="66" t="s">
        <v>105</v>
      </c>
      <c r="F22" s="137">
        <f>'20'!M$30</f>
        <v>13</v>
      </c>
      <c r="G22" s="138">
        <f>'20'!M$29</f>
        <v>177</v>
      </c>
      <c r="H22" s="138">
        <f>'20'!M$27</f>
        <v>1053</v>
      </c>
      <c r="I22" s="115" t="str">
        <f>"pounds of TSS reduced
per "&amp;'BMP info'!E21&amp;"
per year"</f>
        <v>pounds of TSS reduced
per acre
per year</v>
      </c>
      <c r="J22" s="83"/>
      <c r="K22" s="103">
        <f>'20'!D$34</f>
        <v>1190.0999999999999</v>
      </c>
      <c r="L22" s="115" t="str">
        <f>"per "&amp;'BMP info'!E21&amp;"
per year"</f>
        <v>per acre
per year</v>
      </c>
      <c r="M22" s="83"/>
      <c r="N22" s="135">
        <f t="shared" si="0"/>
        <v>10.923451810772205</v>
      </c>
      <c r="O22" s="136">
        <f t="shared" si="1"/>
        <v>148.72699773128309</v>
      </c>
      <c r="P22" s="136">
        <f t="shared" si="2"/>
        <v>884.79959667254855</v>
      </c>
      <c r="Q22" s="115" t="s">
        <v>137</v>
      </c>
      <c r="R22" s="83"/>
      <c r="S22" s="103">
        <f t="shared" si="3"/>
        <v>1.13019943019943</v>
      </c>
      <c r="T22" s="143">
        <f t="shared" si="4"/>
        <v>6.7237288135593216</v>
      </c>
      <c r="U22" s="143">
        <f t="shared" si="5"/>
        <v>91.546153846153842</v>
      </c>
      <c r="V22" s="115" t="s">
        <v>190</v>
      </c>
    </row>
    <row r="23" spans="1:22" ht="33.75">
      <c r="A23" s="8">
        <v>21</v>
      </c>
      <c r="B23" s="12" t="s">
        <v>60</v>
      </c>
      <c r="C23" s="71" t="s">
        <v>106</v>
      </c>
      <c r="D23" s="66" t="s">
        <v>107</v>
      </c>
      <c r="F23" s="133">
        <f>'21'!M$30</f>
        <v>0</v>
      </c>
      <c r="G23" s="134">
        <f>'21'!M$29</f>
        <v>0</v>
      </c>
      <c r="H23" s="134">
        <f>'21'!M$27</f>
        <v>0</v>
      </c>
      <c r="I23" s="115" t="str">
        <f>"pounds of TSS reduced
per "&amp;'BMP info'!E22&amp;"
per year"</f>
        <v>pounds of TSS reduced
per animal unit
per year</v>
      </c>
      <c r="J23" s="83"/>
      <c r="K23" s="104">
        <f>'21'!D$34</f>
        <v>1</v>
      </c>
      <c r="L23" s="115" t="str">
        <f>"per "&amp;'BMP info'!E22&amp;"
per year"</f>
        <v>per animal unit
per year</v>
      </c>
      <c r="M23" s="83"/>
      <c r="N23" s="133">
        <f t="shared" si="0"/>
        <v>0</v>
      </c>
      <c r="O23" s="134">
        <f t="shared" si="1"/>
        <v>0</v>
      </c>
      <c r="P23" s="134">
        <f t="shared" si="2"/>
        <v>0</v>
      </c>
      <c r="Q23" s="115" t="s">
        <v>137</v>
      </c>
      <c r="R23" s="83"/>
      <c r="S23" s="102" t="str">
        <f t="shared" si="3"/>
        <v>-</v>
      </c>
      <c r="T23" s="142" t="str">
        <f t="shared" si="4"/>
        <v>-</v>
      </c>
      <c r="U23" s="142" t="str">
        <f t="shared" si="5"/>
        <v>-</v>
      </c>
      <c r="V23" s="115" t="s">
        <v>190</v>
      </c>
    </row>
    <row r="24" spans="1:22" ht="33.75">
      <c r="A24" s="8">
        <v>22</v>
      </c>
      <c r="B24" s="12" t="s">
        <v>60</v>
      </c>
      <c r="C24" s="71" t="s">
        <v>64</v>
      </c>
      <c r="D24" s="66" t="s">
        <v>108</v>
      </c>
      <c r="F24" s="137">
        <f>'22'!M$30</f>
        <v>1.26</v>
      </c>
      <c r="G24" s="138">
        <f>'22'!M$29</f>
        <v>1.3</v>
      </c>
      <c r="H24" s="138">
        <f>'22'!M$27</f>
        <v>2</v>
      </c>
      <c r="I24" s="115" t="str">
        <f>"pounds of TSS reduced
per "&amp;'BMP info'!E23&amp;"
per year"</f>
        <v>pounds of TSS reduced
per foot
per year</v>
      </c>
      <c r="J24" s="83"/>
      <c r="K24" s="104">
        <f>'22'!D$34</f>
        <v>6.6886666666666663</v>
      </c>
      <c r="L24" s="115" t="str">
        <f>"per "&amp;'BMP info'!E23&amp;"
per year"</f>
        <v>per foot
per year</v>
      </c>
      <c r="M24" s="83"/>
      <c r="N24" s="135">
        <f t="shared" si="0"/>
        <v>188.3783514402472</v>
      </c>
      <c r="O24" s="136">
        <f t="shared" si="1"/>
        <v>194.35861656533442</v>
      </c>
      <c r="P24" s="136">
        <f t="shared" si="2"/>
        <v>299.01325625436061</v>
      </c>
      <c r="Q24" s="115" t="s">
        <v>137</v>
      </c>
      <c r="R24" s="83"/>
      <c r="S24" s="103">
        <f t="shared" si="3"/>
        <v>3.3443333333333332</v>
      </c>
      <c r="T24" s="143">
        <f t="shared" si="4"/>
        <v>5.1451282051282048</v>
      </c>
      <c r="U24" s="143">
        <f t="shared" si="5"/>
        <v>5.3084656084656086</v>
      </c>
      <c r="V24" s="115" t="s">
        <v>190</v>
      </c>
    </row>
    <row r="25" spans="1:22" ht="33.75">
      <c r="A25" s="8">
        <v>23</v>
      </c>
      <c r="B25" s="12" t="s">
        <v>60</v>
      </c>
      <c r="C25" s="71" t="s">
        <v>109</v>
      </c>
      <c r="D25" s="66" t="s">
        <v>110</v>
      </c>
      <c r="F25" s="137">
        <f>'23'!M$30</f>
        <v>1</v>
      </c>
      <c r="G25" s="138">
        <f>'23'!M$29</f>
        <v>2</v>
      </c>
      <c r="H25" s="138">
        <f>'23'!M$27</f>
        <v>4</v>
      </c>
      <c r="I25" s="115" t="str">
        <f>"pounds of TSS reduced
per "&amp;'BMP info'!E24&amp;"
per year"</f>
        <v>pounds of TSS reduced
per acre
per year</v>
      </c>
      <c r="J25" s="83"/>
      <c r="K25" s="104">
        <f>'23'!D$34</f>
        <v>7</v>
      </c>
      <c r="L25" s="115" t="str">
        <f>"per "&amp;'BMP info'!E24&amp;"
per year"</f>
        <v>per acre
per year</v>
      </c>
      <c r="M25" s="83"/>
      <c r="N25" s="135">
        <f t="shared" si="0"/>
        <v>142.85714285714286</v>
      </c>
      <c r="O25" s="136">
        <f t="shared" si="1"/>
        <v>285.71428571428572</v>
      </c>
      <c r="P25" s="136">
        <f t="shared" si="2"/>
        <v>571.42857142857144</v>
      </c>
      <c r="Q25" s="115" t="s">
        <v>137</v>
      </c>
      <c r="R25" s="83"/>
      <c r="S25" s="103">
        <f t="shared" si="3"/>
        <v>1.75</v>
      </c>
      <c r="T25" s="143">
        <f t="shared" si="4"/>
        <v>3.5</v>
      </c>
      <c r="U25" s="143">
        <f t="shared" si="5"/>
        <v>7</v>
      </c>
      <c r="V25" s="115" t="s">
        <v>190</v>
      </c>
    </row>
    <row r="26" spans="1:22" ht="33.75">
      <c r="A26" s="8">
        <v>24</v>
      </c>
      <c r="B26" s="12" t="s">
        <v>60</v>
      </c>
      <c r="C26" s="71" t="s">
        <v>111</v>
      </c>
      <c r="D26" s="66" t="s">
        <v>112</v>
      </c>
      <c r="F26" s="137">
        <f>'24'!M$30</f>
        <v>3</v>
      </c>
      <c r="G26" s="138">
        <f>'24'!M$29</f>
        <v>14</v>
      </c>
      <c r="H26" s="138">
        <f>'24'!M$27</f>
        <v>45</v>
      </c>
      <c r="I26" s="115" t="str">
        <f>"pounds of TSS reduced
per "&amp;'BMP info'!E25&amp;"
per year"</f>
        <v>pounds of TSS reduced
per acre
per year</v>
      </c>
      <c r="J26" s="83"/>
      <c r="K26" s="104">
        <f>'24'!D$34</f>
        <v>82.667000000000002</v>
      </c>
      <c r="L26" s="115" t="str">
        <f>"per "&amp;'BMP info'!E25&amp;"
per year"</f>
        <v>per acre
per year</v>
      </c>
      <c r="M26" s="83"/>
      <c r="N26" s="135">
        <f t="shared" si="0"/>
        <v>36.290176249289317</v>
      </c>
      <c r="O26" s="136">
        <f t="shared" si="1"/>
        <v>169.35415583001682</v>
      </c>
      <c r="P26" s="136">
        <f t="shared" si="2"/>
        <v>544.35264373933978</v>
      </c>
      <c r="Q26" s="115" t="s">
        <v>137</v>
      </c>
      <c r="R26" s="83"/>
      <c r="S26" s="103">
        <f t="shared" si="3"/>
        <v>1.8370444444444445</v>
      </c>
      <c r="T26" s="143">
        <f t="shared" si="4"/>
        <v>5.9047857142857145</v>
      </c>
      <c r="U26" s="143">
        <f t="shared" si="5"/>
        <v>27.555666666666667</v>
      </c>
      <c r="V26" s="115" t="s">
        <v>190</v>
      </c>
    </row>
    <row r="27" spans="1:22" ht="33.75">
      <c r="A27" s="8">
        <v>25</v>
      </c>
      <c r="B27" s="12" t="s">
        <v>60</v>
      </c>
      <c r="C27" s="71" t="s">
        <v>126</v>
      </c>
      <c r="D27" s="66" t="s">
        <v>127</v>
      </c>
      <c r="F27" s="137">
        <f>'25'!M$30</f>
        <v>203</v>
      </c>
      <c r="G27" s="138">
        <f>'25'!M$29</f>
        <v>1623</v>
      </c>
      <c r="H27" s="138">
        <f>'25'!M$27</f>
        <v>5501</v>
      </c>
      <c r="I27" s="115" t="str">
        <f>"pounds of TSS reduced
per "&amp;'BMP info'!E26&amp;"
per year"</f>
        <v>pounds of TSS reduced
per acre
per year</v>
      </c>
      <c r="J27" s="83"/>
      <c r="K27" s="104">
        <f>'25'!D$34</f>
        <v>93.1</v>
      </c>
      <c r="L27" s="115" t="str">
        <f>"per "&amp;'BMP info'!E26&amp;"
per year"</f>
        <v>per acre
per year</v>
      </c>
      <c r="M27" s="83"/>
      <c r="N27" s="135">
        <f t="shared" si="0"/>
        <v>2180.4511278195491</v>
      </c>
      <c r="O27" s="136">
        <f t="shared" si="1"/>
        <v>17432.867883995703</v>
      </c>
      <c r="P27" s="136">
        <f t="shared" si="2"/>
        <v>59087.003222341569</v>
      </c>
      <c r="Q27" s="115" t="s">
        <v>137</v>
      </c>
      <c r="R27" s="83"/>
      <c r="S27" s="103">
        <f t="shared" si="3"/>
        <v>1.6924195600799854E-2</v>
      </c>
      <c r="T27" s="143">
        <f t="shared" si="4"/>
        <v>5.7362908194701169E-2</v>
      </c>
      <c r="U27" s="143">
        <f t="shared" si="5"/>
        <v>0.45862068965517239</v>
      </c>
      <c r="V27" s="115" t="s">
        <v>190</v>
      </c>
    </row>
    <row r="28" spans="1:22" ht="33.75">
      <c r="A28" s="8">
        <v>26</v>
      </c>
      <c r="B28" s="12" t="s">
        <v>60</v>
      </c>
      <c r="C28" s="71" t="s">
        <v>257</v>
      </c>
      <c r="D28" s="66" t="s">
        <v>114</v>
      </c>
      <c r="F28" s="137">
        <f>'26'!M$30</f>
        <v>0</v>
      </c>
      <c r="G28" s="138">
        <f>'26'!M$29</f>
        <v>0</v>
      </c>
      <c r="H28" s="138">
        <f>'26'!M$27</f>
        <v>0</v>
      </c>
      <c r="I28" s="115" t="str">
        <f>"pounds of TSS reduced
per "&amp;'BMP info'!E27&amp;"
per year"</f>
        <v>pounds of TSS reduced
per acre
per year</v>
      </c>
      <c r="J28" s="83"/>
      <c r="K28" s="104">
        <f>'26'!D$34</f>
        <v>23.33</v>
      </c>
      <c r="L28" s="115" t="str">
        <f>"per "&amp;'BMP info'!E27&amp;"
per year"</f>
        <v>per acre
per year</v>
      </c>
      <c r="M28" s="83"/>
      <c r="N28" s="135">
        <f t="shared" si="0"/>
        <v>0</v>
      </c>
      <c r="O28" s="136">
        <f t="shared" si="1"/>
        <v>0</v>
      </c>
      <c r="P28" s="136">
        <f t="shared" si="2"/>
        <v>0</v>
      </c>
      <c r="Q28" s="115" t="s">
        <v>137</v>
      </c>
      <c r="R28" s="83"/>
      <c r="S28" s="103" t="str">
        <f t="shared" si="3"/>
        <v>-</v>
      </c>
      <c r="T28" s="143" t="str">
        <f t="shared" si="4"/>
        <v>-</v>
      </c>
      <c r="U28" s="143" t="str">
        <f t="shared" si="5"/>
        <v>-</v>
      </c>
      <c r="V28" s="115" t="s">
        <v>190</v>
      </c>
    </row>
    <row r="29" spans="1:22" ht="33.75">
      <c r="A29" s="8">
        <v>27</v>
      </c>
      <c r="B29" s="12" t="s">
        <v>60</v>
      </c>
      <c r="C29" s="71" t="s">
        <v>117</v>
      </c>
      <c r="D29" s="66" t="s">
        <v>118</v>
      </c>
      <c r="F29" s="133">
        <f>'27'!M$30</f>
        <v>0</v>
      </c>
      <c r="G29" s="134">
        <f>'27'!M$29</f>
        <v>0</v>
      </c>
      <c r="H29" s="134">
        <f>'27'!M$27</f>
        <v>0</v>
      </c>
      <c r="I29" s="115" t="str">
        <f>"pounds of TSS reduced
per "&amp;'BMP info'!E28&amp;"
per year"</f>
        <v>pounds of TSS reduced
per animal unit
per year</v>
      </c>
      <c r="J29" s="83"/>
      <c r="K29" s="104">
        <f>'27'!D$34</f>
        <v>0.83</v>
      </c>
      <c r="L29" s="115" t="str">
        <f>"per "&amp;'BMP info'!E28&amp;"
per year"</f>
        <v>per animal unit
per year</v>
      </c>
      <c r="M29" s="83"/>
      <c r="N29" s="133">
        <f t="shared" si="0"/>
        <v>0</v>
      </c>
      <c r="O29" s="134">
        <f t="shared" si="1"/>
        <v>0</v>
      </c>
      <c r="P29" s="134">
        <f t="shared" si="2"/>
        <v>0</v>
      </c>
      <c r="Q29" s="115" t="s">
        <v>137</v>
      </c>
      <c r="R29" s="83"/>
      <c r="S29" s="102" t="str">
        <f t="shared" si="3"/>
        <v>-</v>
      </c>
      <c r="T29" s="142" t="str">
        <f t="shared" si="4"/>
        <v>-</v>
      </c>
      <c r="U29" s="142" t="str">
        <f t="shared" si="5"/>
        <v>-</v>
      </c>
      <c r="V29" s="115" t="s">
        <v>190</v>
      </c>
    </row>
    <row r="30" spans="1:22" ht="33.75">
      <c r="A30" s="8">
        <v>28</v>
      </c>
      <c r="B30" s="12" t="s">
        <v>60</v>
      </c>
      <c r="C30" s="71" t="s">
        <v>121</v>
      </c>
      <c r="D30" s="66" t="s">
        <v>122</v>
      </c>
      <c r="F30" s="137">
        <f>'28'!M$30</f>
        <v>7</v>
      </c>
      <c r="G30" s="138">
        <f>'28'!M$29</f>
        <v>51</v>
      </c>
      <c r="H30" s="138">
        <f>'28'!M$27</f>
        <v>287</v>
      </c>
      <c r="I30" s="115" t="str">
        <f>"pounds of TSS reduced
per "&amp;'BMP info'!E29&amp;"
per year"</f>
        <v>pounds of TSS reduced
per acre
per year</v>
      </c>
      <c r="J30" s="83"/>
      <c r="K30" s="103">
        <f>'28'!D$34</f>
        <v>600</v>
      </c>
      <c r="L30" s="115" t="str">
        <f>"per "&amp;'BMP info'!E29&amp;"
per year"</f>
        <v>per acre
per year</v>
      </c>
      <c r="M30" s="83"/>
      <c r="N30" s="135">
        <f t="shared" si="0"/>
        <v>11.666666666666666</v>
      </c>
      <c r="O30" s="136">
        <f t="shared" si="1"/>
        <v>85</v>
      </c>
      <c r="P30" s="136">
        <f t="shared" si="2"/>
        <v>478.33333333333331</v>
      </c>
      <c r="Q30" s="115" t="s">
        <v>137</v>
      </c>
      <c r="R30" s="83"/>
      <c r="S30" s="103">
        <f t="shared" si="3"/>
        <v>2.0905923344947737</v>
      </c>
      <c r="T30" s="143">
        <f t="shared" si="4"/>
        <v>11.764705882352942</v>
      </c>
      <c r="U30" s="143">
        <f t="shared" si="5"/>
        <v>85.714285714285708</v>
      </c>
      <c r="V30" s="115" t="s">
        <v>190</v>
      </c>
    </row>
    <row r="31" spans="1:22" ht="33.75">
      <c r="A31" s="8">
        <v>29</v>
      </c>
      <c r="B31" s="12" t="s">
        <v>60</v>
      </c>
      <c r="C31" s="71" t="s">
        <v>142</v>
      </c>
      <c r="D31" s="66" t="s">
        <v>17</v>
      </c>
      <c r="F31" s="137">
        <f>'29'!M$30</f>
        <v>10</v>
      </c>
      <c r="G31" s="138">
        <f>'29'!M$29</f>
        <v>80</v>
      </c>
      <c r="H31" s="138">
        <f>'29'!M$27</f>
        <v>607</v>
      </c>
      <c r="I31" s="115" t="str">
        <f>"pounds of TSS reduced
per "&amp;'BMP info'!E30&amp;"
per year"</f>
        <v>pounds of TSS reduced
per acre
per year</v>
      </c>
      <c r="J31" s="83"/>
      <c r="K31" s="103">
        <f>'29'!D$34</f>
        <v>163.80000000000001</v>
      </c>
      <c r="L31" s="115" t="str">
        <f>"per "&amp;'BMP info'!E30&amp;"
per year"</f>
        <v>per acre
per year</v>
      </c>
      <c r="M31" s="83"/>
      <c r="N31" s="135">
        <f t="shared" si="0"/>
        <v>61.050061050061046</v>
      </c>
      <c r="O31" s="136">
        <f t="shared" si="1"/>
        <v>488.40048840048837</v>
      </c>
      <c r="P31" s="136">
        <f t="shared" si="2"/>
        <v>3705.7387057387054</v>
      </c>
      <c r="Q31" s="115" t="s">
        <v>137</v>
      </c>
      <c r="R31" s="83"/>
      <c r="S31" s="103">
        <f t="shared" si="3"/>
        <v>0.26985172981878092</v>
      </c>
      <c r="T31" s="143">
        <f t="shared" si="4"/>
        <v>2.0475000000000003</v>
      </c>
      <c r="U31" s="143">
        <f t="shared" si="5"/>
        <v>16.380000000000003</v>
      </c>
      <c r="V31" s="115" t="s">
        <v>190</v>
      </c>
    </row>
    <row r="32" spans="1:22" ht="33.75">
      <c r="A32" s="8">
        <v>30</v>
      </c>
      <c r="B32" s="12" t="s">
        <v>60</v>
      </c>
      <c r="C32" s="71" t="s">
        <v>119</v>
      </c>
      <c r="D32" s="66" t="s">
        <v>120</v>
      </c>
      <c r="F32" s="137">
        <f>'30'!M$30</f>
        <v>21</v>
      </c>
      <c r="G32" s="138">
        <f>'30'!M$29</f>
        <v>82</v>
      </c>
      <c r="H32" s="138">
        <f>'30'!M$27</f>
        <v>178</v>
      </c>
      <c r="I32" s="115" t="str">
        <f>"pounds of TSS reduced
per "&amp;'BMP info'!E31&amp;"
per year"</f>
        <v>pounds of TSS reduced
per acre
per year</v>
      </c>
      <c r="J32" s="83"/>
      <c r="K32" s="103">
        <f>'30'!D$34</f>
        <v>600</v>
      </c>
      <c r="L32" s="115" t="str">
        <f>"per "&amp;'BMP info'!E31&amp;"
per year"</f>
        <v>per acre
per year</v>
      </c>
      <c r="M32" s="83"/>
      <c r="N32" s="135">
        <f t="shared" ref="N32:P37" si="6">IF($K32=0,"-",1000*F32/$K32)</f>
        <v>35</v>
      </c>
      <c r="O32" s="136">
        <f t="shared" si="6"/>
        <v>136.66666666666666</v>
      </c>
      <c r="P32" s="136">
        <f t="shared" si="6"/>
        <v>296.66666666666669</v>
      </c>
      <c r="Q32" s="115" t="s">
        <v>137</v>
      </c>
      <c r="R32" s="83"/>
      <c r="S32" s="103">
        <f t="shared" si="3"/>
        <v>3.3707865168539324</v>
      </c>
      <c r="T32" s="143">
        <f t="shared" si="4"/>
        <v>7.3170731707317076</v>
      </c>
      <c r="U32" s="143">
        <f t="shared" si="5"/>
        <v>28.571428571428573</v>
      </c>
      <c r="V32" s="115" t="s">
        <v>190</v>
      </c>
    </row>
    <row r="33" spans="1:22" ht="33.75">
      <c r="A33" s="8">
        <v>31</v>
      </c>
      <c r="B33" s="12" t="s">
        <v>60</v>
      </c>
      <c r="C33" s="71" t="s">
        <v>18</v>
      </c>
      <c r="D33" s="66" t="s">
        <v>19</v>
      </c>
      <c r="F33" s="137">
        <f>'31'!M$30</f>
        <v>0</v>
      </c>
      <c r="G33" s="138">
        <f>'31'!M$29</f>
        <v>0</v>
      </c>
      <c r="H33" s="138">
        <f>'31'!M$27</f>
        <v>0</v>
      </c>
      <c r="I33" s="115" t="str">
        <f>"pounds of TSS reduced
per "&amp;'BMP info'!E32&amp;"
per year"</f>
        <v>pounds of TSS reduced
per acre
per year</v>
      </c>
      <c r="J33" s="83"/>
      <c r="K33" s="103">
        <f>'31'!D$34</f>
        <v>52</v>
      </c>
      <c r="L33" s="115" t="str">
        <f>"per "&amp;'BMP info'!E32&amp;"
per year"</f>
        <v>per acre
per year</v>
      </c>
      <c r="M33" s="83"/>
      <c r="N33" s="135">
        <f t="shared" si="6"/>
        <v>0</v>
      </c>
      <c r="O33" s="136">
        <f t="shared" si="6"/>
        <v>0</v>
      </c>
      <c r="P33" s="136">
        <f t="shared" si="6"/>
        <v>0</v>
      </c>
      <c r="Q33" s="115" t="s">
        <v>137</v>
      </c>
      <c r="R33" s="83"/>
      <c r="S33" s="103" t="str">
        <f t="shared" si="3"/>
        <v>-</v>
      </c>
      <c r="T33" s="143" t="str">
        <f t="shared" si="4"/>
        <v>-</v>
      </c>
      <c r="U33" s="143" t="str">
        <f t="shared" si="5"/>
        <v>-</v>
      </c>
      <c r="V33" s="115" t="s">
        <v>190</v>
      </c>
    </row>
    <row r="34" spans="1:22" ht="33.75">
      <c r="A34" s="8">
        <v>32</v>
      </c>
      <c r="B34" s="12" t="s">
        <v>60</v>
      </c>
      <c r="C34" s="71" t="s">
        <v>20</v>
      </c>
      <c r="D34" s="66" t="s">
        <v>168</v>
      </c>
      <c r="F34" s="137">
        <f>'32'!M$30</f>
        <v>82</v>
      </c>
      <c r="G34" s="138">
        <f>'32'!M$29</f>
        <v>139</v>
      </c>
      <c r="H34" s="138">
        <f>'32'!M$27</f>
        <v>380</v>
      </c>
      <c r="I34" s="115" t="str">
        <f>"pounds of TSS reduced
per "&amp;'BMP info'!E33&amp;"
per year"</f>
        <v>pounds of TSS reduced
per acre
per year</v>
      </c>
      <c r="J34" s="83"/>
      <c r="K34" s="103">
        <f>'32'!D$34</f>
        <v>231.42222222222222</v>
      </c>
      <c r="L34" s="115" t="str">
        <f>"per "&amp;'BMP info'!E33&amp;"
per year"</f>
        <v>per acre
per year</v>
      </c>
      <c r="M34" s="83"/>
      <c r="N34" s="135">
        <f t="shared" si="6"/>
        <v>354.3307086614173</v>
      </c>
      <c r="O34" s="136">
        <f t="shared" si="6"/>
        <v>600.63376224313424</v>
      </c>
      <c r="P34" s="136">
        <f t="shared" si="6"/>
        <v>1642.0203572114463</v>
      </c>
      <c r="Q34" s="115" t="s">
        <v>137</v>
      </c>
      <c r="R34" s="83"/>
      <c r="S34" s="103">
        <f t="shared" si="3"/>
        <v>0.60900584795321633</v>
      </c>
      <c r="T34" s="143">
        <f t="shared" si="4"/>
        <v>1.664908073541167</v>
      </c>
      <c r="U34" s="143">
        <f t="shared" si="5"/>
        <v>2.822222222222222</v>
      </c>
      <c r="V34" s="115" t="s">
        <v>190</v>
      </c>
    </row>
    <row r="35" spans="1:22" ht="33.75">
      <c r="A35" s="8">
        <v>33</v>
      </c>
      <c r="B35" s="14" t="s">
        <v>57</v>
      </c>
      <c r="C35" s="71" t="s">
        <v>58</v>
      </c>
      <c r="D35" s="129" t="s">
        <v>59</v>
      </c>
      <c r="F35" s="137">
        <f>'33'!M$30</f>
        <v>0</v>
      </c>
      <c r="G35" s="138">
        <f>'33'!M$29</f>
        <v>0</v>
      </c>
      <c r="H35" s="138">
        <f>'33'!M$27</f>
        <v>0</v>
      </c>
      <c r="I35" s="115" t="str">
        <f>"pounds of TSS reduced
per "&amp;'BMP info'!E35&amp;"
per year"</f>
        <v>pounds of TSS reduced
per acre
per year</v>
      </c>
      <c r="J35" s="83"/>
      <c r="K35" s="104">
        <f>'33'!D$34</f>
        <v>20.5</v>
      </c>
      <c r="L35" s="115" t="str">
        <f>"per "&amp;'BMP info'!E35&amp;"
per year"</f>
        <v>per acre
per year</v>
      </c>
      <c r="M35" s="83"/>
      <c r="N35" s="135">
        <f t="shared" si="6"/>
        <v>0</v>
      </c>
      <c r="O35" s="136">
        <f t="shared" si="6"/>
        <v>0</v>
      </c>
      <c r="P35" s="136">
        <f t="shared" si="6"/>
        <v>0</v>
      </c>
      <c r="Q35" s="115" t="s">
        <v>137</v>
      </c>
      <c r="R35" s="83"/>
      <c r="S35" s="103" t="str">
        <f t="shared" ref="S35:S47" si="7">IF($K35*H35=0,"-",$K35/H35)</f>
        <v>-</v>
      </c>
      <c r="T35" s="143" t="str">
        <f t="shared" ref="T35:T47" si="8">IF($K35*G35=0,"-",$K35/G35)</f>
        <v>-</v>
      </c>
      <c r="U35" s="143" t="str">
        <f t="shared" ref="U35:U47" si="9">IF($K35*F35=0,"-",$K35/F35)</f>
        <v>-</v>
      </c>
      <c r="V35" s="115" t="s">
        <v>190</v>
      </c>
    </row>
    <row r="36" spans="1:22" ht="33.75">
      <c r="A36" s="8">
        <v>34</v>
      </c>
      <c r="B36" s="13" t="s">
        <v>70</v>
      </c>
      <c r="C36" s="71" t="s">
        <v>47</v>
      </c>
      <c r="D36" s="66" t="s">
        <v>48</v>
      </c>
      <c r="F36" s="137">
        <f>'34'!M$30</f>
        <v>91</v>
      </c>
      <c r="G36" s="138">
        <f>'34'!M$29</f>
        <v>202</v>
      </c>
      <c r="H36" s="138">
        <f>'34'!M$27</f>
        <v>580</v>
      </c>
      <c r="I36" s="115" t="str">
        <f>"pounds of TSS reduced
per "&amp;'BMP info'!E36&amp;"
per year"</f>
        <v>pounds of TSS reduced
per MGD
per year</v>
      </c>
      <c r="J36" s="83"/>
      <c r="K36" s="104">
        <f>'34'!D$34</f>
        <v>45</v>
      </c>
      <c r="L36" s="115" t="str">
        <f>"per "&amp;'BMP info'!E36&amp;"
per year"</f>
        <v>per MGD
per year</v>
      </c>
      <c r="M36" s="83"/>
      <c r="N36" s="135">
        <f t="shared" si="6"/>
        <v>2022.2222222222222</v>
      </c>
      <c r="O36" s="136">
        <f t="shared" si="6"/>
        <v>4488.8888888888887</v>
      </c>
      <c r="P36" s="136">
        <f t="shared" si="6"/>
        <v>12888.888888888889</v>
      </c>
      <c r="Q36" s="115" t="s">
        <v>137</v>
      </c>
      <c r="R36" s="83"/>
      <c r="S36" s="103">
        <f t="shared" si="7"/>
        <v>7.7586206896551727E-2</v>
      </c>
      <c r="T36" s="143">
        <f t="shared" si="8"/>
        <v>0.22277227722772278</v>
      </c>
      <c r="U36" s="143">
        <f t="shared" si="9"/>
        <v>0.49450549450549453</v>
      </c>
      <c r="V36" s="115" t="s">
        <v>190</v>
      </c>
    </row>
    <row r="37" spans="1:22" ht="33.75">
      <c r="A37" s="8">
        <v>35</v>
      </c>
      <c r="B37" s="67" t="s">
        <v>61</v>
      </c>
      <c r="C37" s="71" t="s">
        <v>62</v>
      </c>
      <c r="D37" s="66" t="s">
        <v>63</v>
      </c>
      <c r="F37" s="137">
        <f>'35'!M$30</f>
        <v>0</v>
      </c>
      <c r="G37" s="138">
        <f>'35'!M$29</f>
        <v>0</v>
      </c>
      <c r="H37" s="138">
        <f>'35'!M$27</f>
        <v>0</v>
      </c>
      <c r="I37" s="115" t="str">
        <f>"pounds of TSS reduced
per "&amp;'BMP info'!E34&amp;"
per year"</f>
        <v>pounds of TSS reduced
per ton
per year</v>
      </c>
      <c r="J37" s="83"/>
      <c r="K37" s="104">
        <f>'35'!D$34</f>
        <v>395200</v>
      </c>
      <c r="L37" s="115" t="str">
        <f>"per "&amp;'BMP info'!E34&amp;"
per year"</f>
        <v>per ton
per year</v>
      </c>
      <c r="M37" s="83"/>
      <c r="N37" s="137">
        <f t="shared" si="6"/>
        <v>0</v>
      </c>
      <c r="O37" s="138">
        <f t="shared" si="6"/>
        <v>0</v>
      </c>
      <c r="P37" s="138">
        <f t="shared" si="6"/>
        <v>0</v>
      </c>
      <c r="Q37" s="115" t="s">
        <v>137</v>
      </c>
      <c r="R37" s="83"/>
      <c r="S37" s="104" t="str">
        <f t="shared" si="7"/>
        <v>-</v>
      </c>
      <c r="T37" s="144" t="str">
        <f t="shared" si="8"/>
        <v>-</v>
      </c>
      <c r="U37" s="144" t="str">
        <f t="shared" si="9"/>
        <v>-</v>
      </c>
      <c r="V37" s="115" t="s">
        <v>190</v>
      </c>
    </row>
    <row r="38" spans="1:22" ht="33.75">
      <c r="A38" s="8" t="s">
        <v>148</v>
      </c>
      <c r="B38" s="15" t="s">
        <v>49</v>
      </c>
      <c r="C38" s="27" t="s">
        <v>141</v>
      </c>
      <c r="D38" s="6" t="s">
        <v>50</v>
      </c>
      <c r="F38" s="137">
        <f>'36a'!M$30</f>
        <v>0</v>
      </c>
      <c r="G38" s="138">
        <f>'36a'!M$29</f>
        <v>0</v>
      </c>
      <c r="H38" s="138">
        <f>'36a'!M$27</f>
        <v>0</v>
      </c>
      <c r="I38" s="115" t="str">
        <f>"pounds of TSS reduced
per "&amp;'BMP info'!E37&amp;"
per year"</f>
        <v>pounds of TSS reduced
per system
per year</v>
      </c>
      <c r="J38" s="83"/>
      <c r="K38" s="103">
        <f>'36a'!D$34</f>
        <v>750</v>
      </c>
      <c r="L38" s="115" t="str">
        <f>"per "&amp;'BMP info'!E37&amp;"
per year"</f>
        <v>per system
per year</v>
      </c>
      <c r="M38" s="83"/>
      <c r="N38" s="135">
        <f t="shared" ref="N38:N47" si="10">IF($K38=0,"-",1000*F38/$K38)</f>
        <v>0</v>
      </c>
      <c r="O38" s="139">
        <f t="shared" ref="O38:O47" si="11">IF($K38=0,"-",1000*G38/$K38)</f>
        <v>0</v>
      </c>
      <c r="P38" s="139">
        <f t="shared" ref="P38:P47" si="12">IF($K38=0,"-",1000*H38/$K38)</f>
        <v>0</v>
      </c>
      <c r="Q38" s="115" t="s">
        <v>137</v>
      </c>
      <c r="R38" s="83"/>
      <c r="S38" s="103" t="str">
        <f t="shared" si="7"/>
        <v>-</v>
      </c>
      <c r="T38" s="145" t="str">
        <f t="shared" si="8"/>
        <v>-</v>
      </c>
      <c r="U38" s="145" t="str">
        <f t="shared" si="9"/>
        <v>-</v>
      </c>
      <c r="V38" s="115" t="s">
        <v>190</v>
      </c>
    </row>
    <row r="39" spans="1:22" ht="33.75">
      <c r="A39" s="8" t="s">
        <v>149</v>
      </c>
      <c r="B39" s="15" t="s">
        <v>49</v>
      </c>
      <c r="C39" s="27" t="s">
        <v>145</v>
      </c>
      <c r="D39" s="6" t="s">
        <v>50</v>
      </c>
      <c r="F39" s="137">
        <f>'36b'!M$30</f>
        <v>0</v>
      </c>
      <c r="G39" s="138">
        <f>'36b'!M$29</f>
        <v>0</v>
      </c>
      <c r="H39" s="138">
        <f>'36b'!M$27</f>
        <v>0</v>
      </c>
      <c r="I39" s="115" t="str">
        <f>"pounds of TSS reduced
per "&amp;'BMP info'!E38&amp;"
per year"</f>
        <v>pounds of TSS reduced
per system
per year</v>
      </c>
      <c r="J39" s="83"/>
      <c r="K39" s="103">
        <f>'36b'!D$34</f>
        <v>750</v>
      </c>
      <c r="L39" s="115" t="str">
        <f>"per "&amp;'BMP info'!E38&amp;"
per year"</f>
        <v>per system
per year</v>
      </c>
      <c r="M39" s="83"/>
      <c r="N39" s="135">
        <f t="shared" si="10"/>
        <v>0</v>
      </c>
      <c r="O39" s="139">
        <f t="shared" si="11"/>
        <v>0</v>
      </c>
      <c r="P39" s="139">
        <f t="shared" si="12"/>
        <v>0</v>
      </c>
      <c r="Q39" s="115" t="s">
        <v>137</v>
      </c>
      <c r="R39" s="83"/>
      <c r="S39" s="103" t="str">
        <f t="shared" si="7"/>
        <v>-</v>
      </c>
      <c r="T39" s="145" t="str">
        <f t="shared" si="8"/>
        <v>-</v>
      </c>
      <c r="U39" s="145" t="str">
        <f t="shared" si="9"/>
        <v>-</v>
      </c>
      <c r="V39" s="115" t="s">
        <v>190</v>
      </c>
    </row>
    <row r="40" spans="1:22" ht="33.75">
      <c r="A40" s="8" t="s">
        <v>150</v>
      </c>
      <c r="B40" s="15" t="s">
        <v>49</v>
      </c>
      <c r="C40" s="27" t="s">
        <v>157</v>
      </c>
      <c r="D40" s="6" t="s">
        <v>50</v>
      </c>
      <c r="F40" s="137">
        <f>'36c'!M$30</f>
        <v>0</v>
      </c>
      <c r="G40" s="138">
        <f>'36c'!M$29</f>
        <v>0</v>
      </c>
      <c r="H40" s="138">
        <f>'36c'!M$27</f>
        <v>0</v>
      </c>
      <c r="I40" s="115" t="str">
        <f>"pounds of TSS reduced
per "&amp;'BMP info'!E39&amp;"
per year"</f>
        <v>pounds of TSS reduced
per system
per year</v>
      </c>
      <c r="J40" s="83"/>
      <c r="K40" s="103">
        <f>'36c'!D$34</f>
        <v>750</v>
      </c>
      <c r="L40" s="115" t="str">
        <f>"per "&amp;'BMP info'!E39&amp;"
per year"</f>
        <v>per system
per year</v>
      </c>
      <c r="M40" s="83"/>
      <c r="N40" s="135">
        <f t="shared" si="10"/>
        <v>0</v>
      </c>
      <c r="O40" s="139">
        <f t="shared" si="11"/>
        <v>0</v>
      </c>
      <c r="P40" s="139">
        <f t="shared" si="12"/>
        <v>0</v>
      </c>
      <c r="Q40" s="115" t="s">
        <v>137</v>
      </c>
      <c r="R40" s="83"/>
      <c r="S40" s="103" t="str">
        <f t="shared" si="7"/>
        <v>-</v>
      </c>
      <c r="T40" s="145" t="str">
        <f t="shared" si="8"/>
        <v>-</v>
      </c>
      <c r="U40" s="145" t="str">
        <f t="shared" si="9"/>
        <v>-</v>
      </c>
      <c r="V40" s="115" t="s">
        <v>190</v>
      </c>
    </row>
    <row r="41" spans="1:22" ht="33.75">
      <c r="A41" s="8" t="s">
        <v>151</v>
      </c>
      <c r="B41" s="15" t="s">
        <v>49</v>
      </c>
      <c r="C41" s="27" t="s">
        <v>143</v>
      </c>
      <c r="D41" s="6" t="s">
        <v>51</v>
      </c>
      <c r="F41" s="137">
        <f>'37a'!M$30</f>
        <v>0</v>
      </c>
      <c r="G41" s="138">
        <f>'37a'!M$29</f>
        <v>0</v>
      </c>
      <c r="H41" s="138">
        <f>'37a'!M$27</f>
        <v>0</v>
      </c>
      <c r="I41" s="115" t="str">
        <f>"pounds of TSS reduced
per "&amp;'BMP info'!E40&amp;"
per year"</f>
        <v>pounds of TSS reduced
per system
per year</v>
      </c>
      <c r="J41" s="83"/>
      <c r="K41" s="103">
        <f>'37a'!D$34</f>
        <v>736.82500000000005</v>
      </c>
      <c r="L41" s="115" t="str">
        <f>"per "&amp;'BMP info'!E40&amp;"
per year"</f>
        <v>per system
per year</v>
      </c>
      <c r="M41" s="83"/>
      <c r="N41" s="135">
        <f t="shared" si="10"/>
        <v>0</v>
      </c>
      <c r="O41" s="139">
        <f t="shared" si="11"/>
        <v>0</v>
      </c>
      <c r="P41" s="139">
        <f t="shared" si="12"/>
        <v>0</v>
      </c>
      <c r="Q41" s="115" t="s">
        <v>137</v>
      </c>
      <c r="R41" s="83"/>
      <c r="S41" s="103" t="str">
        <f t="shared" si="7"/>
        <v>-</v>
      </c>
      <c r="T41" s="145" t="str">
        <f t="shared" si="8"/>
        <v>-</v>
      </c>
      <c r="U41" s="145" t="str">
        <f t="shared" si="9"/>
        <v>-</v>
      </c>
      <c r="V41" s="115" t="s">
        <v>190</v>
      </c>
    </row>
    <row r="42" spans="1:22" ht="33.75">
      <c r="A42" s="8" t="s">
        <v>152</v>
      </c>
      <c r="B42" s="15" t="s">
        <v>49</v>
      </c>
      <c r="C42" s="27" t="s">
        <v>146</v>
      </c>
      <c r="D42" s="6" t="s">
        <v>51</v>
      </c>
      <c r="F42" s="137">
        <f>'37b'!M$30</f>
        <v>0</v>
      </c>
      <c r="G42" s="138">
        <f>'37b'!M$29</f>
        <v>0</v>
      </c>
      <c r="H42" s="138">
        <f>'37b'!M$27</f>
        <v>0</v>
      </c>
      <c r="I42" s="115" t="str">
        <f>"pounds of TSS reduced
per "&amp;'BMP info'!E41&amp;"
per year"</f>
        <v>pounds of TSS reduced
per system
per year</v>
      </c>
      <c r="J42" s="83"/>
      <c r="K42" s="103">
        <f>'37b'!D$34</f>
        <v>736.82500000000005</v>
      </c>
      <c r="L42" s="115" t="str">
        <f>"per "&amp;'BMP info'!E41&amp;"
per year"</f>
        <v>per system
per year</v>
      </c>
      <c r="M42" s="83"/>
      <c r="N42" s="135">
        <f t="shared" si="10"/>
        <v>0</v>
      </c>
      <c r="O42" s="139">
        <f t="shared" si="11"/>
        <v>0</v>
      </c>
      <c r="P42" s="139">
        <f t="shared" si="12"/>
        <v>0</v>
      </c>
      <c r="Q42" s="115" t="s">
        <v>137</v>
      </c>
      <c r="R42" s="83"/>
      <c r="S42" s="103" t="str">
        <f t="shared" si="7"/>
        <v>-</v>
      </c>
      <c r="T42" s="145" t="str">
        <f t="shared" si="8"/>
        <v>-</v>
      </c>
      <c r="U42" s="145" t="str">
        <f t="shared" si="9"/>
        <v>-</v>
      </c>
      <c r="V42" s="115" t="s">
        <v>190</v>
      </c>
    </row>
    <row r="43" spans="1:22" ht="33.75">
      <c r="A43" s="8" t="s">
        <v>153</v>
      </c>
      <c r="B43" s="15" t="s">
        <v>49</v>
      </c>
      <c r="C43" s="27" t="s">
        <v>158</v>
      </c>
      <c r="D43" s="6" t="s">
        <v>51</v>
      </c>
      <c r="F43" s="137">
        <f>'37c'!M$30</f>
        <v>0</v>
      </c>
      <c r="G43" s="138">
        <f>'37c'!M$29</f>
        <v>0</v>
      </c>
      <c r="H43" s="138">
        <f>'37c'!M$27</f>
        <v>0</v>
      </c>
      <c r="I43" s="115" t="str">
        <f>"pounds of TSS reduced
per "&amp;'BMP info'!E42&amp;"
per year"</f>
        <v>pounds of TSS reduced
per system
per year</v>
      </c>
      <c r="J43" s="83"/>
      <c r="K43" s="103">
        <f>'37c'!D$34</f>
        <v>736.82500000000005</v>
      </c>
      <c r="L43" s="115" t="str">
        <f>"per "&amp;'BMP info'!E42&amp;"
per year"</f>
        <v>per system
per year</v>
      </c>
      <c r="M43" s="83"/>
      <c r="N43" s="135">
        <f t="shared" si="10"/>
        <v>0</v>
      </c>
      <c r="O43" s="139">
        <f t="shared" si="11"/>
        <v>0</v>
      </c>
      <c r="P43" s="139">
        <f t="shared" si="12"/>
        <v>0</v>
      </c>
      <c r="Q43" s="115" t="s">
        <v>137</v>
      </c>
      <c r="R43" s="83"/>
      <c r="S43" s="103" t="str">
        <f t="shared" si="7"/>
        <v>-</v>
      </c>
      <c r="T43" s="145" t="str">
        <f t="shared" si="8"/>
        <v>-</v>
      </c>
      <c r="U43" s="145" t="str">
        <f t="shared" si="9"/>
        <v>-</v>
      </c>
      <c r="V43" s="115" t="s">
        <v>190</v>
      </c>
    </row>
    <row r="44" spans="1:22" ht="33.75">
      <c r="A44" s="8" t="s">
        <v>154</v>
      </c>
      <c r="B44" s="15" t="s">
        <v>49</v>
      </c>
      <c r="C44" s="27" t="s">
        <v>144</v>
      </c>
      <c r="D44" s="6" t="s">
        <v>52</v>
      </c>
      <c r="F44" s="137">
        <f>'38a'!M$30</f>
        <v>0</v>
      </c>
      <c r="G44" s="138">
        <f>'38a'!M$29</f>
        <v>0</v>
      </c>
      <c r="H44" s="138">
        <f>'38a'!M$27</f>
        <v>0</v>
      </c>
      <c r="I44" s="115" t="str">
        <f>"pounds of TSS reduced
per "&amp;'BMP info'!E43&amp;"
per year"</f>
        <v>pounds of TSS reduced
per system
per year</v>
      </c>
      <c r="J44" s="83"/>
      <c r="K44" s="103">
        <f>'38a'!D$34</f>
        <v>193</v>
      </c>
      <c r="L44" s="115" t="str">
        <f>"per "&amp;'BMP info'!E43&amp;"
per year"</f>
        <v>per system
per year</v>
      </c>
      <c r="M44" s="83"/>
      <c r="N44" s="135">
        <f t="shared" si="10"/>
        <v>0</v>
      </c>
      <c r="O44" s="139">
        <f t="shared" si="11"/>
        <v>0</v>
      </c>
      <c r="P44" s="139">
        <f t="shared" si="12"/>
        <v>0</v>
      </c>
      <c r="Q44" s="115" t="s">
        <v>137</v>
      </c>
      <c r="R44" s="83"/>
      <c r="S44" s="103" t="str">
        <f t="shared" si="7"/>
        <v>-</v>
      </c>
      <c r="T44" s="145" t="str">
        <f t="shared" si="8"/>
        <v>-</v>
      </c>
      <c r="U44" s="145" t="str">
        <f t="shared" si="9"/>
        <v>-</v>
      </c>
      <c r="V44" s="115" t="s">
        <v>190</v>
      </c>
    </row>
    <row r="45" spans="1:22" ht="33.75">
      <c r="A45" s="8" t="s">
        <v>155</v>
      </c>
      <c r="B45" s="15" t="s">
        <v>49</v>
      </c>
      <c r="C45" s="27" t="s">
        <v>147</v>
      </c>
      <c r="D45" s="6" t="s">
        <v>52</v>
      </c>
      <c r="F45" s="137">
        <f>'38b'!M$30</f>
        <v>0</v>
      </c>
      <c r="G45" s="138">
        <f>'38b'!M$29</f>
        <v>0</v>
      </c>
      <c r="H45" s="138">
        <f>'38b'!M$27</f>
        <v>0</v>
      </c>
      <c r="I45" s="115" t="str">
        <f>"pounds of TSS reduced
per "&amp;'BMP info'!E44&amp;"
per year"</f>
        <v>pounds of TSS reduced
per system
per year</v>
      </c>
      <c r="J45" s="83"/>
      <c r="K45" s="103">
        <f>'38b'!D$34</f>
        <v>193</v>
      </c>
      <c r="L45" s="115" t="str">
        <f>"per "&amp;'BMP info'!E44&amp;"
per year"</f>
        <v>per system
per year</v>
      </c>
      <c r="M45" s="83"/>
      <c r="N45" s="135">
        <f t="shared" si="10"/>
        <v>0</v>
      </c>
      <c r="O45" s="139">
        <f t="shared" si="11"/>
        <v>0</v>
      </c>
      <c r="P45" s="139">
        <f t="shared" si="12"/>
        <v>0</v>
      </c>
      <c r="Q45" s="115" t="s">
        <v>137</v>
      </c>
      <c r="R45" s="83"/>
      <c r="S45" s="103" t="str">
        <f t="shared" si="7"/>
        <v>-</v>
      </c>
      <c r="T45" s="145" t="str">
        <f t="shared" si="8"/>
        <v>-</v>
      </c>
      <c r="U45" s="145" t="str">
        <f t="shared" si="9"/>
        <v>-</v>
      </c>
      <c r="V45" s="115" t="s">
        <v>190</v>
      </c>
    </row>
    <row r="46" spans="1:22" ht="33.75">
      <c r="A46" s="8" t="s">
        <v>156</v>
      </c>
      <c r="B46" s="15" t="s">
        <v>49</v>
      </c>
      <c r="C46" s="27" t="s">
        <v>159</v>
      </c>
      <c r="D46" s="6" t="s">
        <v>52</v>
      </c>
      <c r="F46" s="137">
        <f>'38c'!M$30</f>
        <v>0</v>
      </c>
      <c r="G46" s="138">
        <f>'38c'!M$29</f>
        <v>0</v>
      </c>
      <c r="H46" s="138">
        <f>'38c'!M$27</f>
        <v>0</v>
      </c>
      <c r="I46" s="115" t="str">
        <f>"pounds of TSS reduced
per "&amp;'BMP info'!E45&amp;"
per year"</f>
        <v>pounds of TSS reduced
per system
per year</v>
      </c>
      <c r="J46" s="83"/>
      <c r="K46" s="103">
        <f>'38c'!D$34</f>
        <v>193</v>
      </c>
      <c r="L46" s="115" t="str">
        <f>"per "&amp;'BMP info'!E45&amp;"
per year"</f>
        <v>per system
per year</v>
      </c>
      <c r="M46" s="83"/>
      <c r="N46" s="135">
        <f t="shared" si="10"/>
        <v>0</v>
      </c>
      <c r="O46" s="139">
        <f t="shared" si="11"/>
        <v>0</v>
      </c>
      <c r="P46" s="139">
        <f t="shared" si="12"/>
        <v>0</v>
      </c>
      <c r="Q46" s="115" t="s">
        <v>137</v>
      </c>
      <c r="R46" s="83"/>
      <c r="S46" s="103" t="str">
        <f t="shared" si="7"/>
        <v>-</v>
      </c>
      <c r="T46" s="145" t="str">
        <f t="shared" si="8"/>
        <v>-</v>
      </c>
      <c r="U46" s="145" t="str">
        <f t="shared" si="9"/>
        <v>-</v>
      </c>
      <c r="V46" s="115" t="s">
        <v>190</v>
      </c>
    </row>
    <row r="47" spans="1:22" ht="33.75" customHeight="1">
      <c r="A47" s="8">
        <v>39</v>
      </c>
      <c r="B47" s="16" t="s">
        <v>69</v>
      </c>
      <c r="C47" s="71" t="s">
        <v>21</v>
      </c>
      <c r="D47" s="66" t="s">
        <v>22</v>
      </c>
      <c r="F47" s="137">
        <f>'39'!M$30</f>
        <v>1704.7089007869486</v>
      </c>
      <c r="G47" s="138">
        <f>'39'!M$29</f>
        <v>3025.9987502892855</v>
      </c>
      <c r="H47" s="138">
        <f>'39'!M$27</f>
        <v>3025.9987502892855</v>
      </c>
      <c r="I47" s="115" t="str">
        <f>"pounds of TSS reduced
per "&amp;'BMP info'!E46&amp;"
per year"</f>
        <v>pounds of TSS reduced
per acre
per year</v>
      </c>
      <c r="J47" s="83"/>
      <c r="K47" s="102">
        <f>'39'!D$34</f>
        <v>0</v>
      </c>
      <c r="L47" s="115" t="str">
        <f>"per "&amp;'BMP info'!E46&amp;"
per year"</f>
        <v>per acre
per year</v>
      </c>
      <c r="M47" s="83"/>
      <c r="N47" s="133" t="str">
        <f t="shared" si="10"/>
        <v>-</v>
      </c>
      <c r="O47" s="134" t="str">
        <f t="shared" si="11"/>
        <v>-</v>
      </c>
      <c r="P47" s="134" t="str">
        <f t="shared" si="12"/>
        <v>-</v>
      </c>
      <c r="Q47" s="115" t="s">
        <v>137</v>
      </c>
      <c r="R47" s="83"/>
      <c r="S47" s="102" t="str">
        <f t="shared" si="7"/>
        <v>-</v>
      </c>
      <c r="T47" s="142" t="str">
        <f t="shared" si="8"/>
        <v>-</v>
      </c>
      <c r="U47" s="142" t="str">
        <f t="shared" si="9"/>
        <v>-</v>
      </c>
      <c r="V47" s="115" t="s">
        <v>190</v>
      </c>
    </row>
    <row r="48" spans="1:22" ht="33.75" customHeight="1">
      <c r="A48" s="8">
        <v>40</v>
      </c>
      <c r="B48" s="16" t="s">
        <v>69</v>
      </c>
      <c r="C48" s="71" t="s">
        <v>290</v>
      </c>
      <c r="D48" s="66" t="s">
        <v>139</v>
      </c>
      <c r="F48" s="137">
        <f>'40'!M$30</f>
        <v>50.931153979999998</v>
      </c>
      <c r="G48" s="138">
        <f>'40'!M$29</f>
        <v>152.61899460000001</v>
      </c>
      <c r="H48" s="138">
        <f>'40'!M$27</f>
        <v>796.35752330000003</v>
      </c>
      <c r="I48" s="115" t="str">
        <f>"pounds of TSS reduced
per "&amp;'BMP info'!E47&amp;"
per year"</f>
        <v>pounds of TSS reduced
per acre treated
per year</v>
      </c>
      <c r="J48" s="83"/>
      <c r="K48" s="103">
        <f>'40'!D$34</f>
        <v>1038.5999999999999</v>
      </c>
      <c r="L48" s="115" t="str">
        <f>"per "&amp;'BMP info'!E47&amp;"
per year"</f>
        <v>per acre treated
per year</v>
      </c>
      <c r="M48" s="83"/>
      <c r="N48" s="135">
        <f t="shared" ref="N48:N66" si="13">IF($K48=0,"-",1000*F48/$K48)</f>
        <v>49.038276506836127</v>
      </c>
      <c r="O48" s="136">
        <f t="shared" ref="O48:O66" si="14">IF($K48=0,"-",1000*G48/$K48)</f>
        <v>146.94684633160026</v>
      </c>
      <c r="P48" s="136">
        <f t="shared" ref="P48:P66" si="15">IF($K48=0,"-",1000*H48/$K48)</f>
        <v>766.76056547275186</v>
      </c>
      <c r="Q48" s="115" t="s">
        <v>137</v>
      </c>
      <c r="R48" s="83"/>
      <c r="S48" s="103">
        <f t="shared" ref="S48:S66" si="16">IF($K48*H48=0,"-",$K48/H48)</f>
        <v>1.3041880934284129</v>
      </c>
      <c r="T48" s="143">
        <f t="shared" ref="T48:T66" si="17">IF($K48*G48=0,"-",$K48/G48)</f>
        <v>6.8051817712603375</v>
      </c>
      <c r="U48" s="143">
        <f t="shared" ref="U48:U66" si="18">IF($K48*F48=0,"-",$K48/F48)</f>
        <v>20.392233806597915</v>
      </c>
      <c r="V48" s="115" t="s">
        <v>190</v>
      </c>
    </row>
    <row r="49" spans="1:22" ht="33.75" customHeight="1">
      <c r="A49" s="8">
        <v>41</v>
      </c>
      <c r="B49" s="16" t="s">
        <v>69</v>
      </c>
      <c r="C49" s="71" t="s">
        <v>280</v>
      </c>
      <c r="D49" s="66" t="s">
        <v>23</v>
      </c>
      <c r="F49" s="137">
        <f>'41'!M$30</f>
        <v>33.260871870000003</v>
      </c>
      <c r="G49" s="138">
        <f>'41'!M$29</f>
        <v>261.1832584</v>
      </c>
      <c r="H49" s="138">
        <f>'41'!M$27</f>
        <v>760.20070090000002</v>
      </c>
      <c r="I49" s="115" t="str">
        <f>"pounds of TSS reduced
per "&amp;'BMP info'!E48&amp;"
per year"</f>
        <v>pounds of TSS reduced
per acre treated
per year</v>
      </c>
      <c r="J49" s="83"/>
      <c r="K49" s="103">
        <f>'41'!D$34</f>
        <v>827.45</v>
      </c>
      <c r="L49" s="115" t="str">
        <f>"per "&amp;'BMP info'!E48&amp;"
per year"</f>
        <v>per acre treated
per year</v>
      </c>
      <c r="M49" s="83"/>
      <c r="N49" s="135">
        <f t="shared" si="13"/>
        <v>40.196835905492783</v>
      </c>
      <c r="O49" s="136">
        <f t="shared" si="14"/>
        <v>315.6483876971418</v>
      </c>
      <c r="P49" s="136">
        <f t="shared" si="15"/>
        <v>918.72705408181764</v>
      </c>
      <c r="Q49" s="115" t="s">
        <v>137</v>
      </c>
      <c r="R49" s="83"/>
      <c r="S49" s="103">
        <f t="shared" si="16"/>
        <v>1.0884625586642893</v>
      </c>
      <c r="T49" s="143">
        <f t="shared" si="17"/>
        <v>3.1680820779590979</v>
      </c>
      <c r="U49" s="143">
        <f t="shared" si="18"/>
        <v>24.877579975476451</v>
      </c>
      <c r="V49" s="115" t="s">
        <v>190</v>
      </c>
    </row>
    <row r="50" spans="1:22" ht="33.75" customHeight="1">
      <c r="A50" s="8">
        <v>42</v>
      </c>
      <c r="B50" s="16" t="s">
        <v>69</v>
      </c>
      <c r="C50" s="71" t="s">
        <v>281</v>
      </c>
      <c r="D50" s="66" t="s">
        <v>24</v>
      </c>
      <c r="F50" s="137">
        <f>'42'!M$30</f>
        <v>0.98821773899999998</v>
      </c>
      <c r="G50" s="138">
        <f>'42'!M$29</f>
        <v>16.015926990000001</v>
      </c>
      <c r="H50" s="138">
        <f>'42'!M$27</f>
        <v>58.08984083</v>
      </c>
      <c r="I50" s="115" t="str">
        <f>"pounds of TSS reduced
per "&amp;'BMP info'!E49&amp;"
per year"</f>
        <v>pounds of TSS reduced
per acre treated
per year</v>
      </c>
      <c r="J50" s="83"/>
      <c r="K50" s="103">
        <f>'42'!D$34</f>
        <v>1120.8499999999999</v>
      </c>
      <c r="L50" s="115" t="str">
        <f>"per "&amp;'BMP info'!E49&amp;"
per year"</f>
        <v>per acre treated
per year</v>
      </c>
      <c r="M50" s="83"/>
      <c r="N50" s="135">
        <f t="shared" si="13"/>
        <v>0.88166814381942282</v>
      </c>
      <c r="O50" s="136">
        <f t="shared" si="14"/>
        <v>14.28909041352545</v>
      </c>
      <c r="P50" s="136">
        <f t="shared" si="15"/>
        <v>51.826596627559447</v>
      </c>
      <c r="Q50" s="115" t="s">
        <v>137</v>
      </c>
      <c r="R50" s="83"/>
      <c r="S50" s="103">
        <f t="shared" si="16"/>
        <v>19.295112260337724</v>
      </c>
      <c r="T50" s="143">
        <f t="shared" si="17"/>
        <v>69.983460882397537</v>
      </c>
      <c r="U50" s="143">
        <f t="shared" si="18"/>
        <v>1134.2136006728776</v>
      </c>
      <c r="V50" s="115" t="s">
        <v>190</v>
      </c>
    </row>
    <row r="51" spans="1:22" ht="33.75" customHeight="1">
      <c r="A51" s="8">
        <v>43</v>
      </c>
      <c r="B51" s="16" t="s">
        <v>69</v>
      </c>
      <c r="C51" s="71" t="s">
        <v>26</v>
      </c>
      <c r="D51" s="66" t="s">
        <v>27</v>
      </c>
      <c r="F51" s="137">
        <f>'43'!M$30</f>
        <v>617.22409110000001</v>
      </c>
      <c r="G51" s="138">
        <f>'43'!M$29</f>
        <v>1561.273731</v>
      </c>
      <c r="H51" s="138">
        <f>'43'!M$27</f>
        <v>3641.4449709999999</v>
      </c>
      <c r="I51" s="115" t="str">
        <f>"pounds of TSS reduced
per "&amp;'BMP info'!E50&amp;"
per year"</f>
        <v>pounds of TSS reduced
per acre treated
per year</v>
      </c>
      <c r="J51" s="83"/>
      <c r="K51" s="103">
        <f>'43'!D$34</f>
        <v>1305</v>
      </c>
      <c r="L51" s="115" t="str">
        <f>"per "&amp;'BMP info'!E50&amp;"
per year"</f>
        <v>per acre treated
per year</v>
      </c>
      <c r="M51" s="83"/>
      <c r="N51" s="135">
        <f t="shared" si="13"/>
        <v>472.96865218390803</v>
      </c>
      <c r="O51" s="136">
        <f t="shared" si="14"/>
        <v>1196.3783379310344</v>
      </c>
      <c r="P51" s="136">
        <f t="shared" si="15"/>
        <v>2790.3792881226054</v>
      </c>
      <c r="Q51" s="115" t="s">
        <v>137</v>
      </c>
      <c r="R51" s="83"/>
      <c r="S51" s="103">
        <f t="shared" si="16"/>
        <v>0.35837421968280514</v>
      </c>
      <c r="T51" s="143">
        <f t="shared" si="17"/>
        <v>0.83585598994491761</v>
      </c>
      <c r="U51" s="143">
        <f t="shared" si="18"/>
        <v>2.1143050292710779</v>
      </c>
      <c r="V51" s="115" t="s">
        <v>190</v>
      </c>
    </row>
    <row r="52" spans="1:22" ht="33.75" customHeight="1">
      <c r="A52" s="8">
        <v>44</v>
      </c>
      <c r="B52" s="16" t="s">
        <v>69</v>
      </c>
      <c r="C52" s="71" t="s">
        <v>66</v>
      </c>
      <c r="D52" s="66" t="s">
        <v>28</v>
      </c>
      <c r="F52" s="137">
        <f>'44'!M$30</f>
        <v>150</v>
      </c>
      <c r="G52" s="138">
        <f>'44'!M$29</f>
        <v>368</v>
      </c>
      <c r="H52" s="138">
        <f>'44'!M$27</f>
        <v>1087</v>
      </c>
      <c r="I52" s="115" t="str">
        <f>"pounds of TSS reduced
per "&amp;'BMP info'!E51&amp;"
per year"</f>
        <v>pounds of TSS reduced
per acre treated
per year</v>
      </c>
      <c r="J52" s="83"/>
      <c r="K52" s="103">
        <f>'44'!D$34</f>
        <v>1305</v>
      </c>
      <c r="L52" s="115" t="str">
        <f>"per "&amp;'BMP info'!E51&amp;"
per year"</f>
        <v>per acre treated
per year</v>
      </c>
      <c r="M52" s="83"/>
      <c r="N52" s="135">
        <f t="shared" si="13"/>
        <v>114.94252873563218</v>
      </c>
      <c r="O52" s="136">
        <f t="shared" si="14"/>
        <v>281.99233716475095</v>
      </c>
      <c r="P52" s="136">
        <f t="shared" si="15"/>
        <v>832.9501915708812</v>
      </c>
      <c r="Q52" s="115" t="s">
        <v>137</v>
      </c>
      <c r="R52" s="83"/>
      <c r="S52" s="103">
        <f t="shared" si="16"/>
        <v>1.2005519779208831</v>
      </c>
      <c r="T52" s="143">
        <f t="shared" si="17"/>
        <v>3.5461956521739131</v>
      </c>
      <c r="U52" s="143">
        <f t="shared" si="18"/>
        <v>8.6999999999999993</v>
      </c>
      <c r="V52" s="115" t="s">
        <v>190</v>
      </c>
    </row>
    <row r="53" spans="1:22" ht="33.75" customHeight="1">
      <c r="A53" s="8">
        <v>45</v>
      </c>
      <c r="B53" s="16" t="s">
        <v>69</v>
      </c>
      <c r="C53" s="71" t="s">
        <v>282</v>
      </c>
      <c r="D53" s="66" t="s">
        <v>25</v>
      </c>
      <c r="F53" s="137">
        <f>'45'!M$30</f>
        <v>8.9733399160000005</v>
      </c>
      <c r="G53" s="138">
        <f>'45'!M$29</f>
        <v>200.71536359999999</v>
      </c>
      <c r="H53" s="138">
        <f>'45'!M$27</f>
        <v>391.81167219999998</v>
      </c>
      <c r="I53" s="115" t="str">
        <f>"pounds of TSS reduced
per "&amp;'BMP info'!E52&amp;"
per year"</f>
        <v>pounds of TSS reduced
per acre treated
per year</v>
      </c>
      <c r="J53" s="83"/>
      <c r="K53" s="103">
        <f>'45'!D$34</f>
        <v>614.75</v>
      </c>
      <c r="L53" s="115" t="str">
        <f>"per "&amp;'BMP info'!E52&amp;"
per year"</f>
        <v>per acre treated
per year</v>
      </c>
      <c r="M53" s="83"/>
      <c r="N53" s="135">
        <f t="shared" si="13"/>
        <v>14.596730241561612</v>
      </c>
      <c r="O53" s="136">
        <f t="shared" si="14"/>
        <v>326.49916811712075</v>
      </c>
      <c r="P53" s="136">
        <f t="shared" si="15"/>
        <v>637.35123578690525</v>
      </c>
      <c r="Q53" s="115" t="s">
        <v>137</v>
      </c>
      <c r="R53" s="83"/>
      <c r="S53" s="103">
        <f t="shared" si="16"/>
        <v>1.5689935844642253</v>
      </c>
      <c r="T53" s="143">
        <f t="shared" si="17"/>
        <v>3.0627949399285548</v>
      </c>
      <c r="U53" s="143">
        <f t="shared" si="18"/>
        <v>68.508493577053073</v>
      </c>
      <c r="V53" s="115" t="s">
        <v>190</v>
      </c>
    </row>
    <row r="54" spans="1:22" ht="33.75" customHeight="1">
      <c r="A54" s="8">
        <v>46</v>
      </c>
      <c r="B54" s="16" t="s">
        <v>69</v>
      </c>
      <c r="C54" s="71" t="s">
        <v>283</v>
      </c>
      <c r="D54" s="66" t="s">
        <v>36</v>
      </c>
      <c r="F54" s="137">
        <f>'46'!M$30</f>
        <v>22.397521449999999</v>
      </c>
      <c r="G54" s="138">
        <f>'46'!M$29</f>
        <v>128.21233230000001</v>
      </c>
      <c r="H54" s="138">
        <f>'46'!M$27</f>
        <v>498.86959560000003</v>
      </c>
      <c r="I54" s="115" t="str">
        <f>"pounds of TSS reduced
per "&amp;'BMP info'!E53&amp;"
per year"</f>
        <v>pounds of TSS reduced
per acre treated
per year</v>
      </c>
      <c r="J54" s="83"/>
      <c r="K54" s="103">
        <f>'46'!D$34</f>
        <v>1465.35</v>
      </c>
      <c r="L54" s="115" t="str">
        <f>"per "&amp;'BMP info'!E53&amp;"
per year"</f>
        <v>per acre treated
per year</v>
      </c>
      <c r="M54" s="83"/>
      <c r="N54" s="135">
        <f t="shared" si="13"/>
        <v>15.284758897191798</v>
      </c>
      <c r="O54" s="136">
        <f t="shared" si="14"/>
        <v>87.496046882997248</v>
      </c>
      <c r="P54" s="136">
        <f t="shared" si="15"/>
        <v>340.44398648786984</v>
      </c>
      <c r="Q54" s="115" t="s">
        <v>137</v>
      </c>
      <c r="R54" s="83"/>
      <c r="S54" s="103">
        <f t="shared" si="16"/>
        <v>2.9373407658520367</v>
      </c>
      <c r="T54" s="143">
        <f t="shared" si="17"/>
        <v>11.429087777385357</v>
      </c>
      <c r="U54" s="143">
        <f t="shared" si="18"/>
        <v>65.424649922592209</v>
      </c>
      <c r="V54" s="115" t="s">
        <v>190</v>
      </c>
    </row>
    <row r="55" spans="1:22" ht="33.75" customHeight="1">
      <c r="A55" s="8">
        <v>47</v>
      </c>
      <c r="B55" s="16" t="s">
        <v>69</v>
      </c>
      <c r="C55" s="71" t="s">
        <v>37</v>
      </c>
      <c r="D55" s="66" t="s">
        <v>38</v>
      </c>
      <c r="F55" s="137">
        <f>'47'!M$30</f>
        <v>44.965200680000002</v>
      </c>
      <c r="G55" s="138">
        <f>'47'!M$29</f>
        <v>125.99991780000001</v>
      </c>
      <c r="H55" s="138">
        <f>'47'!M$27</f>
        <v>321.99215320000002</v>
      </c>
      <c r="I55" s="115" t="str">
        <f>"pounds of TSS reduced
per "&amp;'BMP info'!E54&amp;"
per year"</f>
        <v>pounds of TSS reduced
per acre
per year</v>
      </c>
      <c r="J55" s="83"/>
      <c r="K55" s="104">
        <f>'47'!D$34</f>
        <v>531.375</v>
      </c>
      <c r="L55" s="115" t="str">
        <f>"per "&amp;'BMP info'!E54&amp;"
per year"</f>
        <v>per acre
per year</v>
      </c>
      <c r="M55" s="83"/>
      <c r="N55" s="135">
        <f t="shared" si="13"/>
        <v>84.620467052458253</v>
      </c>
      <c r="O55" s="136">
        <f t="shared" si="14"/>
        <v>237.12052279463657</v>
      </c>
      <c r="P55" s="136">
        <f t="shared" si="15"/>
        <v>605.96029771818394</v>
      </c>
      <c r="Q55" s="115" t="s">
        <v>137</v>
      </c>
      <c r="R55" s="83"/>
      <c r="S55" s="103">
        <f t="shared" si="16"/>
        <v>1.6502731346684256</v>
      </c>
      <c r="T55" s="143">
        <f t="shared" si="17"/>
        <v>4.2172646560250371</v>
      </c>
      <c r="U55" s="143">
        <f t="shared" si="18"/>
        <v>11.817471999771357</v>
      </c>
      <c r="V55" s="115" t="s">
        <v>190</v>
      </c>
    </row>
    <row r="56" spans="1:22" ht="33.75" customHeight="1">
      <c r="A56" s="8">
        <v>48</v>
      </c>
      <c r="B56" s="16" t="s">
        <v>69</v>
      </c>
      <c r="C56" s="71" t="s">
        <v>29</v>
      </c>
      <c r="D56" s="66" t="s">
        <v>30</v>
      </c>
      <c r="F56" s="137">
        <f>'48'!M$30</f>
        <v>0</v>
      </c>
      <c r="G56" s="138">
        <f>'48'!M$29</f>
        <v>58.20193312</v>
      </c>
      <c r="H56" s="138">
        <f>'48'!M$27</f>
        <v>152.63577219999999</v>
      </c>
      <c r="I56" s="115" t="str">
        <f>"pounds of TSS reduced
per "&amp;'BMP info'!E55&amp;"
per year"</f>
        <v>pounds of TSS reduced
per acre
per year</v>
      </c>
      <c r="J56" s="83"/>
      <c r="K56" s="104">
        <f>'48'!D$34</f>
        <v>0</v>
      </c>
      <c r="L56" s="115" t="str">
        <f>"per "&amp;'BMP info'!E55&amp;"
per year"</f>
        <v>per acre
per year</v>
      </c>
      <c r="M56" s="83"/>
      <c r="N56" s="135" t="str">
        <f t="shared" si="13"/>
        <v>-</v>
      </c>
      <c r="O56" s="136" t="str">
        <f t="shared" si="14"/>
        <v>-</v>
      </c>
      <c r="P56" s="136" t="str">
        <f t="shared" si="15"/>
        <v>-</v>
      </c>
      <c r="Q56" s="115" t="s">
        <v>137</v>
      </c>
      <c r="R56" s="83"/>
      <c r="S56" s="103" t="str">
        <f t="shared" si="16"/>
        <v>-</v>
      </c>
      <c r="T56" s="143" t="str">
        <f t="shared" si="17"/>
        <v>-</v>
      </c>
      <c r="U56" s="143" t="str">
        <f t="shared" si="18"/>
        <v>-</v>
      </c>
      <c r="V56" s="115" t="s">
        <v>190</v>
      </c>
    </row>
    <row r="57" spans="1:22" ht="33.75" customHeight="1">
      <c r="A57" s="8">
        <v>49</v>
      </c>
      <c r="B57" s="16" t="s">
        <v>69</v>
      </c>
      <c r="C57" s="71" t="s">
        <v>31</v>
      </c>
      <c r="D57" s="66" t="s">
        <v>32</v>
      </c>
      <c r="F57" s="137">
        <f>'49'!M$30</f>
        <v>259.64323780000001</v>
      </c>
      <c r="G57" s="138">
        <f>'49'!M$29</f>
        <v>560.97847460000003</v>
      </c>
      <c r="H57" s="138">
        <f>'49'!M$27</f>
        <v>1854.107264</v>
      </c>
      <c r="I57" s="115" t="str">
        <f>"pounds of TSS reduced
per "&amp;'BMP info'!E56&amp;"
per year"</f>
        <v>pounds of TSS reduced
per acre
per year</v>
      </c>
      <c r="J57" s="83"/>
      <c r="K57" s="104">
        <f>'49'!D$34</f>
        <v>8684.6</v>
      </c>
      <c r="L57" s="115" t="str">
        <f>"per "&amp;'BMP info'!E56&amp;"
per year"</f>
        <v>per acre
per year</v>
      </c>
      <c r="M57" s="83"/>
      <c r="N57" s="135">
        <f t="shared" si="13"/>
        <v>29.896971397646407</v>
      </c>
      <c r="O57" s="136">
        <f t="shared" si="14"/>
        <v>64.594624346544464</v>
      </c>
      <c r="P57" s="136">
        <f t="shared" si="15"/>
        <v>213.4936858346959</v>
      </c>
      <c r="Q57" s="115" t="s">
        <v>137</v>
      </c>
      <c r="R57" s="83"/>
      <c r="S57" s="103">
        <f t="shared" si="16"/>
        <v>4.6839792759692251</v>
      </c>
      <c r="T57" s="143">
        <f t="shared" si="17"/>
        <v>15.481164417569614</v>
      </c>
      <c r="U57" s="143">
        <f t="shared" si="18"/>
        <v>33.448204057174948</v>
      </c>
      <c r="V57" s="115" t="s">
        <v>190</v>
      </c>
    </row>
    <row r="58" spans="1:22" ht="33.75" customHeight="1">
      <c r="A58" s="8">
        <v>50</v>
      </c>
      <c r="B58" s="16" t="s">
        <v>69</v>
      </c>
      <c r="C58" s="71" t="s">
        <v>284</v>
      </c>
      <c r="D58" s="66" t="s">
        <v>39</v>
      </c>
      <c r="F58" s="137">
        <f>'50'!M$30</f>
        <v>21.53707344</v>
      </c>
      <c r="G58" s="138">
        <f>'50'!M$29</f>
        <v>175.18280060000001</v>
      </c>
      <c r="H58" s="138">
        <f>'50'!M$27</f>
        <v>526.98544830000003</v>
      </c>
      <c r="I58" s="115" t="str">
        <f>"pounds of TSS reduced
per "&amp;'BMP info'!E57&amp;"
per year"</f>
        <v>pounds of TSS reduced
per acre treated
per year</v>
      </c>
      <c r="J58" s="83"/>
      <c r="K58" s="103">
        <f>'50'!D$34</f>
        <v>1114.9000000000001</v>
      </c>
      <c r="L58" s="115" t="str">
        <f>"per "&amp;'BMP info'!E57&amp;"
per year"</f>
        <v>per acre treated
per year</v>
      </c>
      <c r="M58" s="83"/>
      <c r="N58" s="135">
        <f t="shared" si="13"/>
        <v>19.317493443358146</v>
      </c>
      <c r="O58" s="136">
        <f t="shared" si="14"/>
        <v>157.12871163333034</v>
      </c>
      <c r="P58" s="136">
        <f t="shared" si="15"/>
        <v>472.67508144228185</v>
      </c>
      <c r="Q58" s="115" t="s">
        <v>137</v>
      </c>
      <c r="R58" s="83"/>
      <c r="S58" s="103">
        <f t="shared" si="16"/>
        <v>2.1156181894520065</v>
      </c>
      <c r="T58" s="143">
        <f t="shared" si="17"/>
        <v>6.3642092498891127</v>
      </c>
      <c r="U58" s="143">
        <f t="shared" si="18"/>
        <v>51.766550506780462</v>
      </c>
      <c r="V58" s="115" t="s">
        <v>190</v>
      </c>
    </row>
    <row r="59" spans="1:22" ht="33.75" customHeight="1">
      <c r="A59" s="8">
        <v>51</v>
      </c>
      <c r="B59" s="16" t="s">
        <v>69</v>
      </c>
      <c r="C59" s="71" t="s">
        <v>285</v>
      </c>
      <c r="D59" s="66" t="s">
        <v>40</v>
      </c>
      <c r="F59" s="137">
        <f>'51'!M$30</f>
        <v>95.052493440000006</v>
      </c>
      <c r="G59" s="138">
        <f>'51'!M$29</f>
        <v>269.91604760000001</v>
      </c>
      <c r="H59" s="138">
        <f>'51'!M$27</f>
        <v>697.47833319999995</v>
      </c>
      <c r="I59" s="115" t="str">
        <f>"pounds of TSS reduced
per "&amp;'BMP info'!E58&amp;"
per year"</f>
        <v>pounds of TSS reduced
per acre treated
per year</v>
      </c>
      <c r="J59" s="83"/>
      <c r="K59" s="103">
        <f>'51'!D$34</f>
        <v>1137.4000000000001</v>
      </c>
      <c r="L59" s="115" t="str">
        <f>"per "&amp;'BMP info'!E58&amp;"
per year"</f>
        <v>per acre treated
per year</v>
      </c>
      <c r="M59" s="83"/>
      <c r="N59" s="135">
        <f t="shared" si="13"/>
        <v>83.569978406892915</v>
      </c>
      <c r="O59" s="136">
        <f t="shared" si="14"/>
        <v>237.30969544575345</v>
      </c>
      <c r="P59" s="136">
        <f t="shared" si="15"/>
        <v>613.22167504835579</v>
      </c>
      <c r="Q59" s="115" t="s">
        <v>137</v>
      </c>
      <c r="R59" s="83"/>
      <c r="S59" s="103">
        <f t="shared" si="16"/>
        <v>1.6307316598376023</v>
      </c>
      <c r="T59" s="143">
        <f t="shared" si="17"/>
        <v>4.2139028416923221</v>
      </c>
      <c r="U59" s="143">
        <f t="shared" si="18"/>
        <v>11.966019604924528</v>
      </c>
      <c r="V59" s="115" t="s">
        <v>190</v>
      </c>
    </row>
    <row r="60" spans="1:22" ht="33.75" customHeight="1">
      <c r="A60" s="8">
        <v>52</v>
      </c>
      <c r="B60" s="16" t="s">
        <v>69</v>
      </c>
      <c r="C60" s="71" t="s">
        <v>286</v>
      </c>
      <c r="D60" s="66" t="s">
        <v>138</v>
      </c>
      <c r="F60" s="137">
        <f>'52'!M$30</f>
        <v>94.595108699999997</v>
      </c>
      <c r="G60" s="138">
        <f>'52'!M$29</f>
        <v>121.351186</v>
      </c>
      <c r="H60" s="138">
        <f>'52'!M$27</f>
        <v>260.0272142</v>
      </c>
      <c r="I60" s="115" t="str">
        <f>"pounds of TSS reduced
per "&amp;'BMP info'!E59&amp;"
per year"</f>
        <v>pounds of TSS reduced
per acre treated
per year</v>
      </c>
      <c r="J60" s="83"/>
      <c r="K60" s="104">
        <f>'52'!D$34</f>
        <v>4957.6499999999996</v>
      </c>
      <c r="L60" s="115" t="str">
        <f>"per "&amp;'BMP info'!E59&amp;"
per year"</f>
        <v>per acre treated
per year</v>
      </c>
      <c r="M60" s="83"/>
      <c r="N60" s="135">
        <f t="shared" si="13"/>
        <v>19.080634716044901</v>
      </c>
      <c r="O60" s="136">
        <f t="shared" si="14"/>
        <v>24.47756215142255</v>
      </c>
      <c r="P60" s="136">
        <f t="shared" si="15"/>
        <v>52.449691728944167</v>
      </c>
      <c r="Q60" s="115" t="s">
        <v>137</v>
      </c>
      <c r="R60" s="83"/>
      <c r="S60" s="103">
        <f t="shared" si="16"/>
        <v>19.065888988784156</v>
      </c>
      <c r="T60" s="143">
        <f t="shared" si="17"/>
        <v>40.853741635454632</v>
      </c>
      <c r="U60" s="143">
        <f t="shared" si="18"/>
        <v>52.409158022353431</v>
      </c>
      <c r="V60" s="115" t="s">
        <v>190</v>
      </c>
    </row>
    <row r="61" spans="1:22" ht="33.75" customHeight="1">
      <c r="A61" s="8">
        <v>53</v>
      </c>
      <c r="B61" s="16" t="s">
        <v>69</v>
      </c>
      <c r="C61" s="71" t="s">
        <v>287</v>
      </c>
      <c r="D61" s="66" t="s">
        <v>33</v>
      </c>
      <c r="F61" s="137">
        <f>'53'!M$30</f>
        <v>36.667847960000003</v>
      </c>
      <c r="G61" s="138">
        <f>'53'!M$29</f>
        <v>243.28226090000001</v>
      </c>
      <c r="H61" s="138">
        <f>'53'!M$27</f>
        <v>614.12526330000003</v>
      </c>
      <c r="I61" s="115" t="str">
        <f>"pounds of TSS reduced
per "&amp;'BMP info'!E60&amp;"
per year"</f>
        <v>pounds of TSS reduced
per acre treated
per year</v>
      </c>
      <c r="J61" s="83"/>
      <c r="K61" s="103">
        <f>'53'!D$34</f>
        <v>1621.6</v>
      </c>
      <c r="L61" s="115" t="str">
        <f>"per "&amp;'BMP info'!E60&amp;"
per year"</f>
        <v>per acre treated
per year</v>
      </c>
      <c r="M61" s="83"/>
      <c r="N61" s="135">
        <f t="shared" si="13"/>
        <v>22.612141070547612</v>
      </c>
      <c r="O61" s="136">
        <f t="shared" si="14"/>
        <v>150.02606123581651</v>
      </c>
      <c r="P61" s="136">
        <f t="shared" si="15"/>
        <v>378.71562857671438</v>
      </c>
      <c r="Q61" s="115" t="s">
        <v>137</v>
      </c>
      <c r="R61" s="83"/>
      <c r="S61" s="103">
        <f t="shared" si="16"/>
        <v>2.6405036511384301</v>
      </c>
      <c r="T61" s="143">
        <f t="shared" si="17"/>
        <v>6.6655085907252021</v>
      </c>
      <c r="U61" s="143">
        <f t="shared" si="18"/>
        <v>44.224029775866882</v>
      </c>
      <c r="V61" s="115" t="s">
        <v>190</v>
      </c>
    </row>
    <row r="62" spans="1:22" ht="33.75" customHeight="1">
      <c r="A62" s="8">
        <v>54</v>
      </c>
      <c r="B62" s="16" t="s">
        <v>69</v>
      </c>
      <c r="C62" s="71" t="s">
        <v>34</v>
      </c>
      <c r="D62" s="66" t="s">
        <v>35</v>
      </c>
      <c r="F62" s="137">
        <f>'54'!M$30</f>
        <v>14.862785862786616</v>
      </c>
      <c r="G62" s="138">
        <f>'54'!M$29</f>
        <v>30.193617021276566</v>
      </c>
      <c r="H62" s="138">
        <f>'54'!M$27</f>
        <v>114.57107041639415</v>
      </c>
      <c r="I62" s="115" t="str">
        <f>"pounds of TSS reduced
per "&amp;'BMP info'!E61&amp;"
per year"</f>
        <v>pounds of TSS reduced
per acre
per year</v>
      </c>
      <c r="J62" s="83"/>
      <c r="K62" s="103">
        <f>'54'!D$34</f>
        <v>743.45</v>
      </c>
      <c r="L62" s="115" t="str">
        <f>"per "&amp;'BMP info'!E61&amp;"
per year"</f>
        <v>per acre
per year</v>
      </c>
      <c r="M62" s="83"/>
      <c r="N62" s="135">
        <f t="shared" si="13"/>
        <v>19.991641486026786</v>
      </c>
      <c r="O62" s="136">
        <f t="shared" si="14"/>
        <v>40.612841510897255</v>
      </c>
      <c r="P62" s="136">
        <f t="shared" si="15"/>
        <v>154.10729762108298</v>
      </c>
      <c r="Q62" s="115" t="s">
        <v>137</v>
      </c>
      <c r="R62" s="83"/>
      <c r="S62" s="103">
        <f t="shared" si="16"/>
        <v>6.4889853721190214</v>
      </c>
      <c r="T62" s="143">
        <f t="shared" si="17"/>
        <v>24.62275385807909</v>
      </c>
      <c r="U62" s="143">
        <f t="shared" si="18"/>
        <v>50.020905021678821</v>
      </c>
      <c r="V62" s="115" t="s">
        <v>190</v>
      </c>
    </row>
    <row r="63" spans="1:22" ht="33.75" customHeight="1">
      <c r="A63" s="8">
        <v>55</v>
      </c>
      <c r="B63" s="16" t="s">
        <v>69</v>
      </c>
      <c r="C63" s="71" t="s">
        <v>41</v>
      </c>
      <c r="D63" s="66" t="s">
        <v>42</v>
      </c>
      <c r="F63" s="137">
        <f>'55'!M$30</f>
        <v>0</v>
      </c>
      <c r="G63" s="138">
        <f>'55'!M$29</f>
        <v>0</v>
      </c>
      <c r="H63" s="138">
        <f>'55'!M$27</f>
        <v>0</v>
      </c>
      <c r="I63" s="115" t="str">
        <f>"pounds of TSS reduced
per "&amp;'BMP info'!E62&amp;"
per year"</f>
        <v>pounds of TSS reduced
per acre
per year</v>
      </c>
      <c r="J63" s="83"/>
      <c r="K63" s="103">
        <f>'55'!D$34</f>
        <v>147.5</v>
      </c>
      <c r="L63" s="115" t="str">
        <f>"per "&amp;'BMP info'!E62&amp;"
per year"</f>
        <v>per acre
per year</v>
      </c>
      <c r="M63" s="83"/>
      <c r="N63" s="135">
        <f t="shared" si="13"/>
        <v>0</v>
      </c>
      <c r="O63" s="136">
        <f t="shared" si="14"/>
        <v>0</v>
      </c>
      <c r="P63" s="136">
        <f t="shared" si="15"/>
        <v>0</v>
      </c>
      <c r="Q63" s="115" t="s">
        <v>137</v>
      </c>
      <c r="R63" s="83"/>
      <c r="S63" s="103" t="str">
        <f t="shared" si="16"/>
        <v>-</v>
      </c>
      <c r="T63" s="143" t="str">
        <f t="shared" si="17"/>
        <v>-</v>
      </c>
      <c r="U63" s="143" t="str">
        <f t="shared" si="18"/>
        <v>-</v>
      </c>
      <c r="V63" s="115" t="s">
        <v>190</v>
      </c>
    </row>
    <row r="64" spans="1:22" ht="33.75" customHeight="1">
      <c r="A64" s="8">
        <v>56</v>
      </c>
      <c r="B64" s="16" t="s">
        <v>69</v>
      </c>
      <c r="C64" s="71" t="s">
        <v>44</v>
      </c>
      <c r="D64" s="66" t="s">
        <v>45</v>
      </c>
      <c r="F64" s="137">
        <f>'56'!M$30</f>
        <v>-21.602700469999998</v>
      </c>
      <c r="G64" s="138">
        <f>'56'!M$29</f>
        <v>30.674017370000001</v>
      </c>
      <c r="H64" s="138">
        <f>'56'!M$27</f>
        <v>124.49476989999999</v>
      </c>
      <c r="I64" s="115" t="str">
        <f>"pounds of TSS reduced
per "&amp;'BMP info'!E63&amp;"
per year"</f>
        <v>pounds of TSS reduced
per acre
per year</v>
      </c>
      <c r="J64" s="83"/>
      <c r="K64" s="104">
        <f>'56'!D$34</f>
        <v>2009.75</v>
      </c>
      <c r="L64" s="115" t="str">
        <f>"per "&amp;'BMP info'!E63&amp;"
per year"</f>
        <v>per acre
per year</v>
      </c>
      <c r="M64" s="83"/>
      <c r="N64" s="135">
        <f t="shared" si="13"/>
        <v>-10.748949108098023</v>
      </c>
      <c r="O64" s="136">
        <f t="shared" si="14"/>
        <v>15.262603492971763</v>
      </c>
      <c r="P64" s="136">
        <f t="shared" si="15"/>
        <v>61.945401119542232</v>
      </c>
      <c r="Q64" s="115" t="s">
        <v>137</v>
      </c>
      <c r="R64" s="83"/>
      <c r="S64" s="103">
        <f t="shared" si="16"/>
        <v>16.143248440190096</v>
      </c>
      <c r="T64" s="143">
        <f t="shared" si="17"/>
        <v>65.519621240274461</v>
      </c>
      <c r="U64" s="143">
        <f t="shared" si="18"/>
        <v>-93.032350413364782</v>
      </c>
      <c r="V64" s="115" t="s">
        <v>190</v>
      </c>
    </row>
    <row r="65" spans="1:22" ht="33.75" customHeight="1">
      <c r="A65" s="8">
        <v>57</v>
      </c>
      <c r="B65" s="16" t="s">
        <v>69</v>
      </c>
      <c r="C65" s="71" t="s">
        <v>67</v>
      </c>
      <c r="D65" s="66" t="s">
        <v>43</v>
      </c>
      <c r="F65" s="137">
        <f>'57'!M$30</f>
        <v>1.2957844743531708</v>
      </c>
      <c r="G65" s="138">
        <f>'57'!M$29</f>
        <v>2</v>
      </c>
      <c r="H65" s="138">
        <f>'57'!M$27</f>
        <v>3.1485662338578884</v>
      </c>
      <c r="I65" s="115" t="str">
        <f>"pounds of TSS reduced
per "&amp;'BMP info'!E64&amp;"
per year"</f>
        <v>pounds of TSS reduced
per foot
per year</v>
      </c>
      <c r="J65" s="83"/>
      <c r="K65" s="103">
        <f>'57'!D$34</f>
        <v>41.004999999999995</v>
      </c>
      <c r="L65" s="115" t="str">
        <f>"per "&amp;'BMP info'!E64&amp;"
per year"</f>
        <v>per foot
per year</v>
      </c>
      <c r="M65" s="83"/>
      <c r="N65" s="135">
        <f t="shared" si="13"/>
        <v>31.600645637194752</v>
      </c>
      <c r="O65" s="136">
        <f t="shared" si="14"/>
        <v>48.774539690281678</v>
      </c>
      <c r="P65" s="136">
        <f t="shared" si="15"/>
        <v>76.784934370391142</v>
      </c>
      <c r="Q65" s="115" t="s">
        <v>137</v>
      </c>
      <c r="R65" s="83"/>
      <c r="S65" s="103">
        <f t="shared" si="16"/>
        <v>13.023388092985174</v>
      </c>
      <c r="T65" s="143">
        <f t="shared" si="17"/>
        <v>20.502499999999998</v>
      </c>
      <c r="U65" s="143">
        <f t="shared" si="18"/>
        <v>31.64492306521025</v>
      </c>
      <c r="V65" s="115" t="s">
        <v>190</v>
      </c>
    </row>
    <row r="66" spans="1:22" ht="33.75" customHeight="1">
      <c r="A66" s="252">
        <v>58</v>
      </c>
      <c r="B66" s="16" t="s">
        <v>69</v>
      </c>
      <c r="C66" s="71" t="s">
        <v>288</v>
      </c>
      <c r="D66" s="253" t="s">
        <v>140</v>
      </c>
      <c r="F66" s="137">
        <f>'58'!M$30</f>
        <v>53.674648070000003</v>
      </c>
      <c r="G66" s="138">
        <f>'58'!M$29</f>
        <v>85.734877740000002</v>
      </c>
      <c r="H66" s="138">
        <f>'58'!M$27</f>
        <v>393.67500000000001</v>
      </c>
      <c r="I66" s="115" t="str">
        <f>"pounds of TSS reduced
per "&amp;'BMP info'!E65&amp;"
per year"</f>
        <v>pounds of TSS reduced
per acre treated
per year</v>
      </c>
      <c r="J66" s="83"/>
      <c r="K66" s="103">
        <f>'58'!D$34</f>
        <v>499.05</v>
      </c>
      <c r="L66" s="115" t="str">
        <f>"per "&amp;'BMP info'!E65&amp;"
per year"</f>
        <v>per acre treated
per year</v>
      </c>
      <c r="M66" s="83"/>
      <c r="N66" s="135">
        <f t="shared" si="13"/>
        <v>107.55364807133554</v>
      </c>
      <c r="O66" s="136">
        <f t="shared" si="14"/>
        <v>171.7961681995792</v>
      </c>
      <c r="P66" s="136">
        <f t="shared" si="15"/>
        <v>788.848812744214</v>
      </c>
      <c r="Q66" s="115" t="s">
        <v>137</v>
      </c>
      <c r="R66" s="83"/>
      <c r="S66" s="103">
        <f t="shared" si="16"/>
        <v>1.2676700323871213</v>
      </c>
      <c r="T66" s="143">
        <f t="shared" si="17"/>
        <v>5.8208515968661132</v>
      </c>
      <c r="U66" s="143">
        <f t="shared" si="18"/>
        <v>9.2976855544383259</v>
      </c>
      <c r="V66" s="115" t="s">
        <v>190</v>
      </c>
    </row>
    <row r="67" spans="1:22" ht="33.75" customHeight="1" thickBot="1">
      <c r="A67" s="90">
        <v>59</v>
      </c>
      <c r="B67" s="91" t="s">
        <v>69</v>
      </c>
      <c r="C67" s="270" t="s">
        <v>289</v>
      </c>
      <c r="D67" s="159" t="s">
        <v>46</v>
      </c>
      <c r="F67" s="140">
        <f>'59'!M$30</f>
        <v>5.4509583419999998</v>
      </c>
      <c r="G67" s="141">
        <f>'59'!M$29</f>
        <v>97.202787459999996</v>
      </c>
      <c r="H67" s="141">
        <f>'59'!M$27</f>
        <v>293.45732090000001</v>
      </c>
      <c r="I67" s="116" t="str">
        <f>"pounds of TSS reduced
per "&amp;'BMP info'!E66&amp;"
per year"</f>
        <v>pounds of TSS reduced
per acre treated
per year</v>
      </c>
      <c r="J67" s="83"/>
      <c r="K67" s="105">
        <f>'59'!D$34</f>
        <v>459</v>
      </c>
      <c r="L67" s="116" t="str">
        <f>"per "&amp;'BMP info'!E66&amp;"
per year"</f>
        <v>per acre treated
per year</v>
      </c>
      <c r="M67" s="83"/>
      <c r="N67" s="140">
        <f>IF($K67=0,"-",1000*F67/$K67)</f>
        <v>11.875726235294117</v>
      </c>
      <c r="O67" s="141">
        <f>IF($K67=0,"-",1000*G67/$K67)</f>
        <v>211.7707787799564</v>
      </c>
      <c r="P67" s="141">
        <f>IF($K67=0,"-",1000*H67/$K67)</f>
        <v>639.34056840958601</v>
      </c>
      <c r="Q67" s="116" t="s">
        <v>137</v>
      </c>
      <c r="R67" s="83"/>
      <c r="S67" s="105">
        <f>IF($K67*H67=0,"-",$K67/H67)</f>
        <v>1.5641116009384246</v>
      </c>
      <c r="T67" s="146">
        <f>IF($K67*G67=0,"-",$K67/G67)</f>
        <v>4.7220868042378257</v>
      </c>
      <c r="U67" s="146">
        <f>IF($K67*F67=0,"-",$K67/F67)</f>
        <v>84.205376596510419</v>
      </c>
      <c r="V67" s="116" t="s">
        <v>190</v>
      </c>
    </row>
    <row r="68" spans="1:22" ht="13.5" thickTop="1"/>
    <row r="69" spans="1:22">
      <c r="A69" s="1" t="s">
        <v>297</v>
      </c>
    </row>
  </sheetData>
  <mergeCells count="5">
    <mergeCell ref="S1:V1"/>
    <mergeCell ref="N1:Q1"/>
    <mergeCell ref="A1:D1"/>
    <mergeCell ref="F1:I1"/>
    <mergeCell ref="K1:L1"/>
  </mergeCells>
  <phoneticPr fontId="1" type="noConversion"/>
  <hyperlinks>
    <hyperlink ref="C38" location="'36a'!A1" display="Septic Connection ― Critical Area"/>
    <hyperlink ref="C39" location="'36b'!A1" display="Septic Connection ― 1,000 feet of stream"/>
    <hyperlink ref="C40" location="'36c'!A1" display="Septic Connection ― other"/>
    <hyperlink ref="C25" location="'23'!A1" display="Nutrient Management"/>
    <hyperlink ref="C15" location="'13'!A1" display="Enhanced Nutrient Management"/>
    <hyperlink ref="C13" location="'11'!A1" display="Decision Agriculture"/>
    <hyperlink ref="C41" location="'37a'!A1" display="Septic Denitrification ― Critical Area"/>
    <hyperlink ref="C42" location="'37b'!A1" display="Septic Denitrification ― 1,000 feet of stream"/>
    <hyperlink ref="C43" location="'37c'!A1" display="Septic Denitrification ― other"/>
    <hyperlink ref="C44" location="'38a'!A1" display="Septic Pumping ― Critical Area"/>
    <hyperlink ref="C45" location="'38b'!A1" display="Septic Pumping ― 1,000 feet of stream"/>
    <hyperlink ref="C46" location="'38c'!A1" display="Septic Pumping ― other"/>
    <hyperlink ref="C5" location="'3'!A1" display="Barnyard Runoff Control"/>
    <hyperlink ref="C6" location="'4'!A1" display="Irrigation Water Capture Reuse"/>
    <hyperlink ref="C7" location="'5'!A1" display="Alternative Crops"/>
    <hyperlink ref="C11" location="'9'!A1" display="Cover Crop Standard Drilled Wheat"/>
    <hyperlink ref="C8" location="'6'!A1" display="Heavy Use Poultry Area Concrete Pads"/>
    <hyperlink ref="C9" location="'7'!A1" display="Soil Conservation and Water Quality Plans"/>
    <hyperlink ref="C3" location="'1'!A1" display="Poultry Litter Treatment (alum, for example)"/>
    <hyperlink ref="C4" location="'2'!A1" display="Animal Waste Management System"/>
    <hyperlink ref="C12" location="'10'!A1" display="Cropland Irrigation Management"/>
    <hyperlink ref="C14" location="'12'!A1" display="Sorbing Materials in Ag Ditches"/>
    <hyperlink ref="C16" location="'14'!A1" display="Forest Buffers"/>
    <hyperlink ref="C17" location="'15'!A1" display="Grass Buffers; Vegetated Open Channel - Agriculture"/>
    <hyperlink ref="C18" location="'16'!A1" display="Horse Pasture Management"/>
    <hyperlink ref="C19" location="'17'!A1" display="Land Retirement to hay without nutrients (HEL)"/>
    <hyperlink ref="C20" location="'18'!A1" display="Land Retirement to pasture (HEL)"/>
    <hyperlink ref="C21" location="'19'!A1" display="Dairy Manure Injection"/>
    <hyperlink ref="C22" location="'20'!A1" display="Loafing Lot Management"/>
    <hyperlink ref="C23" location="'21'!A1" display="Mortality Composters"/>
    <hyperlink ref="C24" location="'22'!A1" display="Non Urban Stream Restoration; Shoreline Erosion Control"/>
    <hyperlink ref="C26" location="'24'!A1" display="Off Stream Watering Without Fencing"/>
    <hyperlink ref="C27" location="'25'!A1" display="Stream Access Control with Fencing"/>
    <hyperlink ref="C28" location="'26'!A1" display="Poultry Litter Injection"/>
    <hyperlink ref="C29" location="'27'!A1" display="Poultry Phytase "/>
    <hyperlink ref="C30" location="'28'!A1" display="Prescribed Grazing"/>
    <hyperlink ref="C32" location="'30'!A1" display="Precision Intensive Rotational Grazing"/>
    <hyperlink ref="C33" location="'31'!A1" display="Water Control Structures"/>
    <hyperlink ref="C34" location="'32'!A1" display="Wetland Restoration"/>
    <hyperlink ref="C31" location="'29'!A1" display="Tree Planting; Vegetative Environmental Buffers ― Poultry"/>
    <hyperlink ref="C10" location="'8'!A1" display="Conservation Tillage - Percent of Acres"/>
    <hyperlink ref="C36" location="'34'!A1" display="Forest Harvesting Practices"/>
    <hyperlink ref="C37" location="'35'!A1" display="Set Permitted Load"/>
    <hyperlink ref="C35" location="'33'!A1" display="Manure Transport"/>
    <hyperlink ref="C55" location="'47'!A1" display="Urban Forest Buffers"/>
    <hyperlink ref="C47" location="'39'!A1" display="Abandoned Mine Reclamation"/>
    <hyperlink ref="C51" location="'43'!A1" display="Erosion and Sediment Control"/>
    <hyperlink ref="C52" location="'44'!A1" display="Erosion and Sediment Control on Extractive, excess applied to all other pervious urban"/>
    <hyperlink ref="C56" location="'48'!A1" display="Forest Conservation"/>
    <hyperlink ref="C57" location="'49'!A1" display="Impervious Urban Surface Reduction"/>
    <hyperlink ref="C65" location="'57'!A1" display="Urban Stream Restoration; Shoreline Erosion Control; Regenerative Stormwater Conveyance"/>
    <hyperlink ref="C64" location="'56'!A1" display="Urban Tree Planting; Urban Tree Canopy"/>
    <hyperlink ref="C63" location="'55'!A1" display="Urban Nutrient Management"/>
    <hyperlink ref="C48" location="'40'!A1" display="Bioretention/raingardens"/>
    <hyperlink ref="C49" location="'41'!A1" display="Bioswale"/>
    <hyperlink ref="C50" location="'42'!A1" display="Dry Detention Ponds and Hydrodynamic Structures"/>
    <hyperlink ref="C53" location="'45'!A1" display="Dry Extended Detention Ponds"/>
    <hyperlink ref="C54" location="'46'!A1" display="Urban Filtering Practices"/>
    <hyperlink ref="C58" location="'50'!A1" display="Urban Infiltration Practices - no sand\veg no under drain"/>
    <hyperlink ref="C59" location="'51'!A1" display="Urban Infiltration Practices - with sandveg no under drain"/>
    <hyperlink ref="C60" location="'52'!A1" display="Permeable Pavement w/ Sand, Veg. - A/B soils, underdrain"/>
    <hyperlink ref="C61" location="'53'!A1" display="MS4 Permit-Required Stormwater Retrofit"/>
    <hyperlink ref="C66" location="'58'!A1" display="Vegetated Open Channel - Urban"/>
    <hyperlink ref="C67" location="'59'!A1" display="Wet Ponds and Wetlands"/>
    <hyperlink ref="C62" location="'54'!A1" display="Street Sweeping 25 times a year-acres (formerly called Street Sweeping Mechanical Monthly)"/>
  </hyperlinks>
  <pageMargins left="0.75" right="0.75" top="1" bottom="1" header="0.5" footer="0.5"/>
  <pageSetup paperSize="5" scale="2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A942212F399C54D9506B8520F4CFC38" ma:contentTypeVersion="12" ma:contentTypeDescription="Create a new document." ma:contentTypeScope="" ma:versionID="5ac96676da46c28e07c621aa6c1d2a74">
  <xsd:schema xmlns:xsd="http://www.w3.org/2001/XMLSchema" xmlns:xs="http://www.w3.org/2001/XMLSchema" xmlns:p="http://schemas.microsoft.com/office/2006/metadata/properties" xmlns:ns1="http://schemas.microsoft.com/sharepoint/v3" targetNamespace="http://schemas.microsoft.com/office/2006/metadata/properties" ma:root="true" ma:fieldsID="0f1c3a5fe40b69cf375f6490498fc6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464B79-D376-44E7-96A9-7F8542697176}"/>
</file>

<file path=customXml/itemProps2.xml><?xml version="1.0" encoding="utf-8"?>
<ds:datastoreItem xmlns:ds="http://schemas.openxmlformats.org/officeDocument/2006/customXml" ds:itemID="{7E90873E-877B-41D4-806F-B22083C8B6D3}"/>
</file>

<file path=customXml/itemProps3.xml><?xml version="1.0" encoding="utf-8"?>
<ds:datastoreItem xmlns:ds="http://schemas.openxmlformats.org/officeDocument/2006/customXml" ds:itemID="{6A81E418-9C9B-4F3F-BEB0-AB9729564D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ReadME</vt:lpstr>
      <vt:lpstr>Summary</vt:lpstr>
      <vt:lpstr>BMP info</vt:lpstr>
      <vt:lpstr>TN eos</vt:lpstr>
      <vt:lpstr>TN del</vt:lpstr>
      <vt:lpstr>TP eos</vt:lpstr>
      <vt:lpstr>TP del</vt:lpstr>
      <vt:lpstr>TSS eos</vt:lpstr>
      <vt:lpstr>TSS del</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36a</vt:lpstr>
      <vt:lpstr>36b</vt:lpstr>
      <vt:lpstr>36c</vt:lpstr>
      <vt:lpstr>37a</vt:lpstr>
      <vt:lpstr>37b</vt:lpstr>
      <vt:lpstr>37c</vt:lpstr>
      <vt:lpstr>38a</vt:lpstr>
      <vt:lpstr>38b</vt:lpstr>
      <vt:lpstr>38c</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vector>
  </TitlesOfParts>
  <Company>MDE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MDE</dc:creator>
  <dc:description>In no event shall MDE, nor its employees, officers or agents become liable to users of the data provided herein for any loss arising from the use, operation or modification of the data. MDE makes no guarantee that the information contained in this file will not change or be updated in the future. These are only esitmates and MDE makes no guarantee that they are accurate to any precision. Use of these estimates are for information purposes only and can not be guaranteed to be able to used for any regulatory requirement.</dc:description>
  <cp:lastModifiedBy>rp</cp:lastModifiedBy>
  <cp:lastPrinted>2012-09-26T12:35:33Z</cp:lastPrinted>
  <dcterms:created xsi:type="dcterms:W3CDTF">2012-09-13T16:26:28Z</dcterms:created>
  <dcterms:modified xsi:type="dcterms:W3CDTF">2017-01-05T14:19:06Z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0x0101003A942212F399C54D9506B8520F4CFC38</vt:lpwstr>
  </property>
</Properties>
</file>