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3395" windowHeight="7485" tabRatio="778" activeTab="0"/>
  </bookViews>
  <sheets>
    <sheet name="Read Me" sheetId="1" r:id="rId1"/>
    <sheet name="2005 Land-Use Calculations" sheetId="2" r:id="rId2"/>
    <sheet name="2005 BMP Calculations" sheetId="3" r:id="rId3"/>
    <sheet name="BMP Load Reduction Calculations" sheetId="4" r:id="rId4"/>
    <sheet name="Area Treated Analysis" sheetId="5" r:id="rId5"/>
  </sheets>
  <definedNames/>
  <calcPr fullCalcOnLoad="1"/>
</workbook>
</file>

<file path=xl/sharedStrings.xml><?xml version="1.0" encoding="utf-8"?>
<sst xmlns="http://schemas.openxmlformats.org/spreadsheetml/2006/main" count="208" uniqueCount="120">
  <si>
    <t>Impervious</t>
  </si>
  <si>
    <t>Urban</t>
  </si>
  <si>
    <t>Pervious</t>
  </si>
  <si>
    <t>Year</t>
  </si>
  <si>
    <t>Total</t>
  </si>
  <si>
    <t>County MS4 Impervious Acres</t>
  </si>
  <si>
    <t>BMP</t>
  </si>
  <si>
    <t>Acres</t>
  </si>
  <si>
    <t>Extended Dry Detention</t>
  </si>
  <si>
    <t>Impervious Surface Reduction</t>
  </si>
  <si>
    <t>Inlet Cleaning</t>
  </si>
  <si>
    <t>Outfall Enhancement</t>
  </si>
  <si>
    <t>SW Retrofits</t>
  </si>
  <si>
    <t>Street Sweeping</t>
  </si>
  <si>
    <t>Filtering Practices</t>
  </si>
  <si>
    <t>Urban Tree Planting</t>
  </si>
  <si>
    <t>Urban Stream Restoration</t>
  </si>
  <si>
    <t>Wetponds/Wetlands</t>
  </si>
  <si>
    <t>N/A</t>
  </si>
  <si>
    <t>Units</t>
  </si>
  <si>
    <t>Curb-Miles</t>
  </si>
  <si>
    <t># Inlets</t>
  </si>
  <si>
    <t>Linear Feet</t>
  </si>
  <si>
    <t>Value</t>
  </si>
  <si>
    <t>Alternative BMPs</t>
  </si>
  <si>
    <t>TN</t>
  </si>
  <si>
    <t>TP</t>
  </si>
  <si>
    <t>TSS</t>
  </si>
  <si>
    <t>SW MEP</t>
  </si>
  <si>
    <t>Dry Detention</t>
  </si>
  <si>
    <t>Infiltration Practices</t>
  </si>
  <si>
    <t>Data Year</t>
  </si>
  <si>
    <r>
      <rPr>
        <b/>
        <sz val="11"/>
        <color indexed="8"/>
        <rFont val="Calibri"/>
        <family val="2"/>
      </rPr>
      <t>Land-Use</t>
    </r>
    <r>
      <rPr>
        <sz val="11"/>
        <color theme="1"/>
        <rFont val="Calibri"/>
        <family val="2"/>
      </rPr>
      <t xml:space="preserve"> (Acres)</t>
    </r>
  </si>
  <si>
    <t>Growth</t>
  </si>
  <si>
    <t>Dry Detention Ponds</t>
  </si>
  <si>
    <t>Extended Dry Detention Ponds</t>
  </si>
  <si>
    <t>Wetponds &amp; Wetlands</t>
  </si>
  <si>
    <t>Environmental Site Design Practices</t>
  </si>
  <si>
    <t>Impervious %</t>
  </si>
  <si>
    <t>Pervious %</t>
  </si>
  <si>
    <t>Ratio</t>
  </si>
  <si>
    <r>
      <rPr>
        <b/>
        <sz val="11"/>
        <color indexed="8"/>
        <rFont val="Calibri"/>
        <family val="2"/>
      </rPr>
      <t>2013 BMP Drainage Area</t>
    </r>
    <r>
      <rPr>
        <sz val="11"/>
        <color theme="1"/>
        <rFont val="Calibri"/>
        <family val="2"/>
      </rPr>
      <t xml:space="preserve"> (Acres)</t>
    </r>
  </si>
  <si>
    <r>
      <rPr>
        <b/>
        <sz val="11"/>
        <color indexed="8"/>
        <rFont val="Calibri"/>
        <family val="2"/>
      </rPr>
      <t>2025 Planned BMP Drainage Areas</t>
    </r>
    <r>
      <rPr>
        <sz val="11"/>
        <color theme="1"/>
        <rFont val="Calibri"/>
        <family val="2"/>
      </rPr>
      <t xml:space="preserve"> (Acres)</t>
    </r>
  </si>
  <si>
    <t>2013 Reporting Levels</t>
  </si>
  <si>
    <t>2025 Planned Levels</t>
  </si>
  <si>
    <r>
      <rPr>
        <b/>
        <sz val="11"/>
        <color indexed="8"/>
        <rFont val="Calibri"/>
        <family val="2"/>
      </rPr>
      <t>No Action Load</t>
    </r>
    <r>
      <rPr>
        <sz val="11"/>
        <color theme="1"/>
        <rFont val="Calibri"/>
        <family val="2"/>
      </rPr>
      <t xml:space="preserve"> (lbs)</t>
    </r>
  </si>
  <si>
    <r>
      <rPr>
        <b/>
        <sz val="11"/>
        <color indexed="8"/>
        <rFont val="Calibri"/>
        <family val="2"/>
      </rPr>
      <t>Load Reduction</t>
    </r>
    <r>
      <rPr>
        <sz val="11"/>
        <color theme="1"/>
        <rFont val="Calibri"/>
        <family val="2"/>
      </rPr>
      <t xml:space="preserve"> (lbs)</t>
    </r>
  </si>
  <si>
    <t>Notes</t>
  </si>
  <si>
    <t>Street Sweeping (Curb Miles)</t>
  </si>
  <si>
    <t>Inlet Cleaning (# Inlets)</t>
  </si>
  <si>
    <t>Stream Restoration (Linear ft.)</t>
  </si>
  <si>
    <t>Did not calculate since county did not provide amount of material collected</t>
  </si>
  <si>
    <r>
      <rPr>
        <b/>
        <sz val="11"/>
        <color indexed="8"/>
        <rFont val="Calibri"/>
        <family val="2"/>
      </rPr>
      <t>Pre-BMP Load</t>
    </r>
    <r>
      <rPr>
        <sz val="11"/>
        <color theme="1"/>
        <rFont val="Calibri"/>
        <family val="2"/>
      </rPr>
      <t xml:space="preserve"> (lbs)</t>
    </r>
  </si>
  <si>
    <t>Tree Planting (Urban Pervious to Forest)</t>
  </si>
  <si>
    <t>Impervious Surface Reduction (Impervious to Pervious)</t>
  </si>
  <si>
    <t>Sub-Total</t>
  </si>
  <si>
    <t>Untreated Acres</t>
  </si>
  <si>
    <t xml:space="preserve"> </t>
  </si>
  <si>
    <t>Table 1: Urban Land-Use Ratio Summary</t>
  </si>
  <si>
    <t>Table 1 below is merely provided as context, in order to perform the impervious/pervious BMP drainage acre splits in the subsequent tables</t>
  </si>
  <si>
    <t>Table 3 below provides estimates as Table 2 above but only for alternative BMPs.</t>
  </si>
  <si>
    <t>Urban Impervious</t>
  </si>
  <si>
    <t>Urban Pervious</t>
  </si>
  <si>
    <t>Parameter</t>
  </si>
  <si>
    <t>The No Action loading rates are as follows:</t>
  </si>
  <si>
    <r>
      <rPr>
        <b/>
        <sz val="11"/>
        <color indexed="8"/>
        <rFont val="Calibri"/>
        <family val="2"/>
      </rPr>
      <t>Rate</t>
    </r>
    <r>
      <rPr>
        <sz val="11"/>
        <color theme="1"/>
        <rFont val="Calibri"/>
        <family val="2"/>
      </rPr>
      <t xml:space="preserve"> (lbs/acre)</t>
    </r>
  </si>
  <si>
    <t>Apply difference in avg. dry pond/extended dry pond CBP efficiencies and wetpond CBP efficiencies</t>
  </si>
  <si>
    <t>Conversion to CBP forest loading rate (watershed specific)</t>
  </si>
  <si>
    <t>Conversion to CBP urban pervious loading rate (watershed specific)</t>
  </si>
  <si>
    <t>Convert from curb miles to acres then apply CBP reduction factor</t>
  </si>
  <si>
    <t>Apply CBP reduction factor/linear foot</t>
  </si>
  <si>
    <t>Baseline Structural Practices</t>
  </si>
  <si>
    <t>Restoration Structural Practices</t>
  </si>
  <si>
    <t>Total Treated Area</t>
  </si>
  <si>
    <t>Land-Use Conversions</t>
  </si>
  <si>
    <t>Area Available for Drypond Conversion</t>
  </si>
  <si>
    <t>Converted to Wetponds</t>
  </si>
  <si>
    <t>Table 1: Watershed Urban Land-Use Summary</t>
  </si>
  <si>
    <r>
      <t>Total Area Available for Retrofit</t>
    </r>
    <r>
      <rPr>
        <b/>
        <vertAlign val="superscript"/>
        <sz val="11"/>
        <color indexed="8"/>
        <rFont val="Calibri"/>
        <family val="2"/>
      </rPr>
      <t>1</t>
    </r>
  </si>
  <si>
    <t>Table1: County Data Summary</t>
  </si>
  <si>
    <t>Table 1 below provides a summary of urban land-use information derived from data provided to MDE by a local jurisdiction, for the analysis watershed</t>
  </si>
  <si>
    <t>Table 2 below provides a comparison of land-use from MAST, which will be used to back-cast the county data to the TMDL Baseline year of 2005</t>
  </si>
  <si>
    <t>Table 3: Backcast to 2005</t>
  </si>
  <si>
    <t>Table 3 below uses the growth rate calculated from the scenario comparison in MAST to back-cast the county LULC data to the TMDL Baseline year</t>
  </si>
  <si>
    <r>
      <rPr>
        <b/>
        <sz val="10"/>
        <color indexed="8"/>
        <rFont val="Calibri"/>
        <family val="2"/>
      </rPr>
      <t>Method Note</t>
    </r>
    <r>
      <rPr>
        <sz val="10"/>
        <color indexed="8"/>
        <rFont val="Calibri"/>
        <family val="2"/>
      </rPr>
      <t>:  Applied growth % from scenario comparison in MAST to 2011 land-use acres to get 2005 acres (TMDL baseline year = 2005)</t>
    </r>
  </si>
  <si>
    <r>
      <rPr>
        <b/>
        <sz val="11"/>
        <color indexed="8"/>
        <rFont val="Calibri"/>
        <family val="2"/>
      </rPr>
      <t>TMDL Baseline Year SW BMP Drainage Area</t>
    </r>
    <r>
      <rPr>
        <sz val="11"/>
        <color theme="1"/>
        <rFont val="Calibri"/>
        <family val="2"/>
      </rPr>
      <t xml:space="preserve"> (Acres)</t>
    </r>
  </si>
  <si>
    <t>Table summarizes the BMP drainage areas for the TMDL baseline year of 2005 within the analysis watershed</t>
  </si>
  <si>
    <t>Table 1 below corresponds to Table 3 in the 2005 Land-Use Calculations worksheet.  It is provided here as reference for the total urban acres in the watershed</t>
  </si>
  <si>
    <t>This worksheet provides a summary of a local jurisdiction's BMP data for the analysis watershed and TMDL baseline year.  It also describes how the summary information was constructed using the local jurisdiction's data.  This summary data can the be used to set the baseline conditions for the locality's SW-WLA plan.</t>
  </si>
  <si>
    <t>This worksheet details how the load reductions input into the SW-WLA Reporting spreadsheet were calculated.</t>
  </si>
  <si>
    <r>
      <t xml:space="preserve">Worksheet No 1  |  </t>
    </r>
    <r>
      <rPr>
        <i/>
        <sz val="11"/>
        <color indexed="8"/>
        <rFont val="Calibri"/>
        <family val="2"/>
      </rPr>
      <t>2005 Land-Use Calculations</t>
    </r>
  </si>
  <si>
    <r>
      <t xml:space="preserve">Worksheet No 2  |  </t>
    </r>
    <r>
      <rPr>
        <i/>
        <sz val="11"/>
        <color indexed="8"/>
        <rFont val="Calibri"/>
        <family val="2"/>
      </rPr>
      <t>2005 BMP Calculations</t>
    </r>
  </si>
  <si>
    <r>
      <t xml:space="preserve">Worksheet No 3  | </t>
    </r>
    <r>
      <rPr>
        <i/>
        <sz val="11"/>
        <color indexed="8"/>
        <rFont val="Calibri"/>
        <family val="2"/>
      </rPr>
      <t xml:space="preserve"> BMP Load Reduction Calculations</t>
    </r>
  </si>
  <si>
    <r>
      <t xml:space="preserve">Worksheet No 4  |  </t>
    </r>
    <r>
      <rPr>
        <i/>
        <sz val="11"/>
        <color indexed="8"/>
        <rFont val="Calibri"/>
        <family val="2"/>
      </rPr>
      <t xml:space="preserve">Area Treated Analysis </t>
    </r>
  </si>
  <si>
    <t>Instructions for using the SW-WLA Implementation Plan Example Calculations Spreadsheet</t>
  </si>
  <si>
    <t>Version: July 2015</t>
  </si>
  <si>
    <t>What are "No Action" loading rates?</t>
  </si>
  <si>
    <t>FAQs</t>
  </si>
  <si>
    <t>This spreadsheet provides example calculations for developing a SW-WLA Implementation Plan. These examples have been developed to assist jurisdictions in developing their plans, but there may be other equally valid methods, and it is not required that jurisdictions follow the examples provided in this spreadsheet. This spreadsheet contains four worksheets, and each worksheet describes one set of calculations. If you  have any questions or comments about this spreadsheet, please e-mail Jeff White at jeff.white@maryland.gov</t>
  </si>
  <si>
    <r>
      <rPr>
        <b/>
        <sz val="10"/>
        <color indexed="8"/>
        <rFont val="Calibri"/>
        <family val="2"/>
      </rPr>
      <t>Method Note</t>
    </r>
    <r>
      <rPr>
        <sz val="10"/>
        <color indexed="8"/>
        <rFont val="Calibri"/>
        <family val="2"/>
      </rPr>
      <t>: Use county stormwater BMP GIS data.  Selected all BMPs with a built year of 2005 (TMDL baseline year) or earlier.  Then, summarized BMP drainage acres for each CBP BMP class type per year.  Assumed that total BMP drainage acres in data excluded non-urban land-cover, i.e., forest or agriculture.  To determine the impervious and pervious acres from the total BMP drainage acres, applied impervious/pervious ratio in watershed from county land-use data.</t>
    </r>
  </si>
  <si>
    <t>&lt;2005</t>
  </si>
  <si>
    <t>Table 4: 2013 Load Reduction Calculations (From 2005 Baseline)</t>
  </si>
  <si>
    <r>
      <rPr>
        <b/>
        <sz val="10"/>
        <color indexed="8"/>
        <rFont val="Calibri"/>
        <family val="2"/>
      </rPr>
      <t>Method Note</t>
    </r>
    <r>
      <rPr>
        <sz val="10"/>
        <color indexed="8"/>
        <rFont val="Calibri"/>
        <family val="2"/>
      </rPr>
      <t>: Same as structural BMP methods.  All alternative BMPs are considered to be for restoration purposes and implemented post-2005.  2025 levels are from county plan.</t>
    </r>
  </si>
  <si>
    <t>The current 2013 and planned 2025 total BMP drainage acres (structural practices only) in Table 2 below are taken directly from a county SW-WLA plan that was submitted to MDE (from context of plan, 2013 and 2025 numbers assumed to be cumulative, not incremental).   This table uses the land-use ratios in Table 1 to estimate the specific impervious and pervious acres treated by the BMPs, which can be input into the SW-WLA reporting spreadsheet</t>
  </si>
  <si>
    <t>Table 2: Current (2013) and Planned (2025) BMP Levels - Structural BMPs</t>
  </si>
  <si>
    <t>Table 3: Current (2013) and Planned (2025) BMP Levels - Alternative BMPs</t>
  </si>
  <si>
    <t>Table 5: 2025 (Planned BMP) Load Reduction Calculations (From 2013)</t>
  </si>
  <si>
    <t>Table 2 below details the calculation of how much untreated urban impervious and pervious land will remain in the watershed after full BMP implementation.  The values for baseline structural practices are taken from the 2005 BMP Calculations worksheet.  The values for the restoration structural practices and land-use conversion BMPs are taken from the BMP Load Reduction Calculations worksheet.</t>
  </si>
  <si>
    <t>Table 2: 2025 Planned BMPs</t>
  </si>
  <si>
    <t>Tables 4 and 5 below detail how the incremental load reductions associated with the restoration BMPs implemented in the watershed since the baseline year (current + planned) and reported in the SW-WLA Reporting spreadsheet were calculated.  The BMP levels presented in Table 5 are greater than those presented in Tables 2 and 3 for 2025, since the levels presented in the county plan did not meet the loading targets.  MDE therefore filled the loading gap by ramping up the BMP levels.</t>
  </si>
  <si>
    <t>This worksheet details the process for taking a local jurisdiction's land-use/land-cover data and impervious cover data for a particular year and using MAST output to back-cast/project the local jurisdiction data to the TMDL's baseline year.  This back-casted/projected data for the TMDL baseline year can then be using in setting the baseline conditions in the locality's SW-WLA plan.</t>
  </si>
  <si>
    <t>This worksheet provides a feasibility analysis for the 2025 planned BMPs, which are intended to be implemented to achieve TMDL reductions.  This basis of this analysis is to ensure that the total planned implementation acres do not exceed total acres available for urban stormwater restoration implementation in the watershed.</t>
  </si>
  <si>
    <t>"No Action" loading rates in the watershed modeling analysis are derived from a "No Action" scenario in the example watershed using BayFAST.  A "No Action" scenario does not include any BMP implementation (i.e., No BMPs applied to any of the land-area in the watershed) for a particular set of land-use conditions.  For instance, there can be multiple No Action scenarios in a watershed, representing 2009, 2010, 2011, etc conditions.  This particular example uses a 2005 No Action scenario, since 2005 is the TMDL baseline year.  The No Action rates also represent edge-of-stream loadings, since the example uses a local TMDL.  If the example were to meet the Bay TMDL allocations for a local jurisdiction, delivered loads would be more appropriate to use.</t>
  </si>
  <si>
    <t>Table 2: MAST - Compare Scenarios Summary</t>
  </si>
  <si>
    <r>
      <rPr>
        <b/>
        <sz val="10"/>
        <color indexed="8"/>
        <rFont val="Calibri"/>
        <family val="2"/>
      </rPr>
      <t>Method Note</t>
    </r>
    <r>
      <rPr>
        <sz val="10"/>
        <color indexed="8"/>
        <rFont val="Calibri"/>
        <family val="2"/>
      </rPr>
      <t>: Used County LULC GIS data.  Extracted urban classifications.  Intersected with MDE Regulated Stormwater delineation -  County MS4 area.  Then, used county impervious cover data.  Extracted impervious area within county MS4 urban LULC.</t>
    </r>
  </si>
  <si>
    <r>
      <rPr>
        <b/>
        <sz val="10"/>
        <color indexed="8"/>
        <rFont val="Calibri"/>
        <family val="2"/>
      </rPr>
      <t>Method Note</t>
    </r>
    <r>
      <rPr>
        <sz val="10"/>
        <color indexed="8"/>
        <rFont val="Calibri"/>
        <family val="2"/>
      </rPr>
      <t>: The only BMPs relevant to the analysis are restoration BMPs constructed post-2005.  BMPs associated with new development are not relevant to the analysis.  The county plan included 2013 acres for bioretention, bioswales, dryponds, extended dry detention, infiltration practices, permeable pavement, SW to the MEP, filtering practices, and wetponds/wetlands.  Many of the acres associated with dry ponds, extended dry detention, SW to the MEP, filtering practices, infiltration practices, and wetponds are captured in the 2005 BMP data analysis (2005 BMP Calculations Worksheet).  The remainder of the acres associated with these BMPs were assumed to be associated with new development post 2005.  For the other BMPs not presented here, such as bioretention, bioswales, and permeable pavement, these were also assumed to be associated with new development post-2005.  2013 and 2025 drainage acres are recorded from a county SW-WLA implementation plan.   Impervious and pervious acres were calculated using the watershed impervious to pervious ratio.  Since MDE only has the data that the county has provided, it was necessary to make some of these assumptions, but localities should be able to develop these estimates without these assumptions, based on their data.</t>
    </r>
  </si>
  <si>
    <t>Structural BMPs</t>
  </si>
  <si>
    <t>modeled as bioswales (CBP BMP efficiency)</t>
  </si>
  <si>
    <r>
      <rPr>
        <b/>
        <sz val="10"/>
        <color indexed="8"/>
        <rFont val="Calibri"/>
        <family val="2"/>
      </rPr>
      <t>Note</t>
    </r>
    <r>
      <rPr>
        <sz val="10"/>
        <color indexed="8"/>
        <rFont val="Calibri"/>
        <family val="2"/>
      </rPr>
      <t>:  The load reductions are calculated as the difference between the loading from the area treated before the restoration BMP was applied and the loading from the area treated after the BP was applied.  The Pre-BMP loads for urban tree planting, impervious surface reduction, and outfall enhancement apply the no action urban loading rates for the watershed.  The pre-BMP load for SW retrofits applies the no action urban loading rate sin conjunction with the average dry pond and extended dry detention reduction efficiencies.</t>
    </r>
  </si>
  <si>
    <r>
      <rPr>
        <b/>
        <sz val="10"/>
        <color indexed="8"/>
        <rFont val="Calibri"/>
        <family val="2"/>
      </rPr>
      <t>Note</t>
    </r>
    <r>
      <rPr>
        <sz val="10"/>
        <color indexed="8"/>
        <rFont val="Calibri"/>
        <family val="2"/>
      </rPr>
      <t xml:space="preserve">: </t>
    </r>
    <r>
      <rPr>
        <vertAlign val="superscript"/>
        <sz val="10"/>
        <color indexed="8"/>
        <rFont val="Calibri"/>
        <family val="2"/>
      </rPr>
      <t>1</t>
    </r>
    <r>
      <rPr>
        <sz val="10"/>
        <color indexed="8"/>
        <rFont val="Calibri"/>
        <family val="2"/>
      </rPr>
      <t>This is the area still left for retrofit after all planned practices have been implemented.  The left-over acreage indicates that should the science of calculating these load reductions change, and the reductions are actually less than estimated, there is still area remaining in the watershed to do further restoration.</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</si>
</sst>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3">
    <font>
      <sz val="11"/>
      <color theme="1"/>
      <name val="Calibri"/>
      <family val="2"/>
    </font>
    <font>
      <sz val="11"/>
      <color indexed="8"/>
      <name val="Calibri"/>
      <family val="2"/>
    </font>
    <font>
      <sz val="10"/>
      <name val="MS Sans Serif"/>
      <family val="2"/>
    </font>
    <font>
      <sz val="11"/>
      <name val="Calibri"/>
      <family val="2"/>
    </font>
    <font>
      <b/>
      <sz val="11"/>
      <color indexed="8"/>
      <name val="Calibri"/>
      <family val="2"/>
    </font>
    <font>
      <b/>
      <i/>
      <sz val="11"/>
      <color indexed="8"/>
      <name val="Calibri"/>
      <family val="2"/>
    </font>
    <font>
      <sz val="10"/>
      <color indexed="8"/>
      <name val="Calibri"/>
      <family val="2"/>
    </font>
    <font>
      <b/>
      <sz val="10"/>
      <color indexed="8"/>
      <name val="Calibri"/>
      <family val="2"/>
    </font>
    <font>
      <b/>
      <sz val="11"/>
      <name val="Calibri"/>
      <family val="2"/>
    </font>
    <font>
      <b/>
      <i/>
      <sz val="11"/>
      <name val="Calibri"/>
      <family val="2"/>
    </font>
    <font>
      <i/>
      <sz val="11"/>
      <color indexed="8"/>
      <name val="Calibri"/>
      <family val="2"/>
    </font>
    <font>
      <i/>
      <sz val="10"/>
      <color indexed="8"/>
      <name val="Calibri"/>
      <family val="2"/>
    </font>
    <font>
      <b/>
      <vertAlign val="superscript"/>
      <sz val="11"/>
      <color indexed="8"/>
      <name val="Calibri"/>
      <family val="2"/>
    </font>
    <font>
      <vertAlign val="superscript"/>
      <sz val="10"/>
      <color indexed="8"/>
      <name val="Calibri"/>
      <family val="2"/>
    </font>
    <font>
      <b/>
      <u val="single"/>
      <sz val="11"/>
      <color indexed="8"/>
      <name val="Calibri"/>
      <family val="2"/>
    </font>
    <font>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theme="1"/>
      <name val="Calibri"/>
      <family val="2"/>
    </font>
    <font>
      <i/>
      <sz val="11"/>
      <color theme="1"/>
      <name val="Calibri"/>
      <family val="2"/>
    </font>
    <font>
      <b/>
      <u val="single"/>
      <sz val="11"/>
      <color theme="1"/>
      <name val="Calibri"/>
      <family val="2"/>
    </font>
    <font>
      <sz val="11"/>
      <color theme="0" tint="-0.4999699890613556"/>
      <name val="Calibri"/>
      <family val="2"/>
    </font>
    <font>
      <sz val="10"/>
      <color theme="1"/>
      <name val="Calibri"/>
      <family val="2"/>
    </font>
    <font>
      <i/>
      <sz val="10"/>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bgColor indexed="64"/>
      </patternFill>
    </fill>
    <fill>
      <patternFill patternType="solid">
        <fgColor theme="0" tint="-0.1499900072813034"/>
        <bgColor indexed="64"/>
      </patternFill>
    </fill>
    <fill>
      <patternFill patternType="solid">
        <fgColor theme="1" tint="0.04998999834060669"/>
        <bgColor indexed="64"/>
      </patternFill>
    </fill>
    <fill>
      <patternFill patternType="solid">
        <fgColor theme="0" tint="-0.0499799996614456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style="thin"/>
      <right/>
      <top style="thin"/>
      <bottom/>
    </border>
    <border>
      <left/>
      <right style="thin"/>
      <top style="thin"/>
      <bottom/>
    </border>
    <border>
      <left style="thin"/>
      <right/>
      <top/>
      <bottom/>
    </border>
    <border>
      <left/>
      <right/>
      <top style="thin"/>
      <bottom style="thin"/>
    </border>
    <border>
      <left/>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39">
    <xf numFmtId="0" fontId="0" fillId="0" borderId="0" xfId="0" applyFont="1" applyAlignment="1">
      <alignment/>
    </xf>
    <xf numFmtId="0" fontId="0" fillId="0" borderId="0" xfId="0" applyFont="1" applyAlignment="1">
      <alignment/>
    </xf>
    <xf numFmtId="0" fontId="0" fillId="0" borderId="10" xfId="0" applyBorder="1" applyAlignment="1">
      <alignment horizontal="center"/>
    </xf>
    <xf numFmtId="0" fontId="47" fillId="0" borderId="0" xfId="0" applyFont="1" applyBorder="1" applyAlignment="1">
      <alignment horizontal="center"/>
    </xf>
    <xf numFmtId="0" fontId="47" fillId="0" borderId="11" xfId="0" applyFont="1" applyBorder="1" applyAlignment="1">
      <alignment horizontal="center"/>
    </xf>
    <xf numFmtId="0" fontId="0" fillId="0" borderId="12" xfId="0" applyFont="1" applyBorder="1" applyAlignment="1">
      <alignment horizontal="left"/>
    </xf>
    <xf numFmtId="3" fontId="0" fillId="0" borderId="13" xfId="0" applyNumberFormat="1" applyFont="1" applyBorder="1" applyAlignment="1">
      <alignment horizontal="center"/>
    </xf>
    <xf numFmtId="3" fontId="0" fillId="0" borderId="14" xfId="0" applyNumberFormat="1" applyFont="1" applyBorder="1" applyAlignment="1">
      <alignment horizontal="center"/>
    </xf>
    <xf numFmtId="0" fontId="45" fillId="0" borderId="15" xfId="0" applyFont="1" applyBorder="1" applyAlignment="1">
      <alignment horizontal="left"/>
    </xf>
    <xf numFmtId="0" fontId="0" fillId="0" borderId="16" xfId="0" applyFont="1" applyBorder="1" applyAlignment="1">
      <alignment horizontal="left"/>
    </xf>
    <xf numFmtId="0" fontId="0" fillId="0" borderId="15" xfId="0" applyBorder="1" applyAlignment="1">
      <alignment horizontal="left"/>
    </xf>
    <xf numFmtId="0" fontId="3" fillId="0" borderId="16" xfId="55" applyFont="1" applyBorder="1" applyAlignment="1">
      <alignment horizontal="left"/>
      <protection/>
    </xf>
    <xf numFmtId="3" fontId="3" fillId="0" borderId="10" xfId="55" applyNumberFormat="1" applyFont="1" applyBorder="1" applyAlignment="1">
      <alignment horizontal="center"/>
      <protection/>
    </xf>
    <xf numFmtId="3" fontId="3" fillId="0" borderId="17" xfId="55" applyNumberFormat="1" applyFont="1" applyBorder="1" applyAlignment="1">
      <alignment horizontal="center"/>
      <protection/>
    </xf>
    <xf numFmtId="0" fontId="3" fillId="0" borderId="18" xfId="55" applyFont="1" applyBorder="1" applyAlignment="1">
      <alignment horizontal="left"/>
      <protection/>
    </xf>
    <xf numFmtId="3" fontId="3" fillId="0" borderId="0" xfId="55" applyNumberFormat="1" applyFont="1" applyBorder="1" applyAlignment="1">
      <alignment horizontal="center"/>
      <protection/>
    </xf>
    <xf numFmtId="3" fontId="3" fillId="0" borderId="11" xfId="55" applyNumberFormat="1" applyFont="1" applyBorder="1" applyAlignment="1">
      <alignment horizontal="center"/>
      <protection/>
    </xf>
    <xf numFmtId="0" fontId="0" fillId="33" borderId="0" xfId="0" applyFill="1" applyAlignment="1">
      <alignment/>
    </xf>
    <xf numFmtId="0" fontId="47" fillId="0" borderId="13" xfId="0" applyFont="1" applyBorder="1" applyAlignment="1">
      <alignment horizontal="center"/>
    </xf>
    <xf numFmtId="0" fontId="47" fillId="0" borderId="14" xfId="0" applyFont="1" applyBorder="1" applyAlignment="1">
      <alignment horizontal="center"/>
    </xf>
    <xf numFmtId="0" fontId="0" fillId="0" borderId="18" xfId="0" applyFill="1" applyBorder="1" applyAlignment="1">
      <alignment/>
    </xf>
    <xf numFmtId="3" fontId="0" fillId="0" borderId="0" xfId="0" applyNumberFormat="1" applyFill="1" applyBorder="1" applyAlignment="1">
      <alignment horizontal="center"/>
    </xf>
    <xf numFmtId="0" fontId="0" fillId="0" borderId="0" xfId="0" applyBorder="1" applyAlignment="1">
      <alignment horizontal="center"/>
    </xf>
    <xf numFmtId="0" fontId="0" fillId="0" borderId="16" xfId="0" applyBorder="1" applyAlignment="1">
      <alignment/>
    </xf>
    <xf numFmtId="0" fontId="0" fillId="0" borderId="0" xfId="0" applyFill="1" applyBorder="1" applyAlignment="1">
      <alignment horizontal="center"/>
    </xf>
    <xf numFmtId="0" fontId="0" fillId="0" borderId="11" xfId="0" applyFill="1" applyBorder="1" applyAlignment="1">
      <alignment horizontal="center"/>
    </xf>
    <xf numFmtId="0" fontId="0" fillId="0" borderId="12" xfId="0" applyBorder="1" applyAlignment="1">
      <alignment/>
    </xf>
    <xf numFmtId="0" fontId="0" fillId="0" borderId="13" xfId="0" applyFill="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47" fillId="0" borderId="13" xfId="0" applyFont="1" applyFill="1" applyBorder="1" applyAlignment="1">
      <alignment horizontal="center"/>
    </xf>
    <xf numFmtId="0" fontId="0" fillId="0" borderId="16" xfId="0" applyFill="1" applyBorder="1" applyAlignment="1">
      <alignment/>
    </xf>
    <xf numFmtId="3" fontId="0" fillId="0" borderId="10" xfId="0" applyNumberFormat="1" applyBorder="1" applyAlignment="1">
      <alignment horizontal="center"/>
    </xf>
    <xf numFmtId="3" fontId="0" fillId="0" borderId="0" xfId="0" applyNumberFormat="1" applyBorder="1" applyAlignment="1">
      <alignment horizontal="center"/>
    </xf>
    <xf numFmtId="0" fontId="0" fillId="0" borderId="12" xfId="0" applyFill="1" applyBorder="1" applyAlignment="1">
      <alignment/>
    </xf>
    <xf numFmtId="3" fontId="0" fillId="0" borderId="13" xfId="0" applyNumberFormat="1" applyBorder="1" applyAlignment="1">
      <alignment horizontal="center"/>
    </xf>
    <xf numFmtId="3" fontId="0" fillId="0" borderId="10" xfId="0" applyNumberFormat="1" applyBorder="1" applyAlignment="1">
      <alignment/>
    </xf>
    <xf numFmtId="3" fontId="0" fillId="0" borderId="0" xfId="0" applyNumberFormat="1" applyBorder="1" applyAlignment="1">
      <alignment/>
    </xf>
    <xf numFmtId="3" fontId="0" fillId="0" borderId="13" xfId="0" applyNumberFormat="1" applyBorder="1" applyAlignment="1">
      <alignment/>
    </xf>
    <xf numFmtId="0" fontId="0" fillId="0" borderId="15" xfId="0" applyFill="1" applyBorder="1" applyAlignment="1">
      <alignment/>
    </xf>
    <xf numFmtId="3" fontId="0" fillId="0" borderId="19" xfId="0" applyNumberFormat="1" applyBorder="1" applyAlignment="1">
      <alignment horizontal="center"/>
    </xf>
    <xf numFmtId="0" fontId="0" fillId="0" borderId="19" xfId="0" applyBorder="1" applyAlignment="1">
      <alignment horizontal="center"/>
    </xf>
    <xf numFmtId="0" fontId="0" fillId="0" borderId="0" xfId="0" applyFill="1" applyAlignment="1">
      <alignment/>
    </xf>
    <xf numFmtId="0" fontId="0" fillId="0" borderId="15" xfId="0" applyFont="1" applyBorder="1" applyAlignment="1">
      <alignment horizontal="left"/>
    </xf>
    <xf numFmtId="0" fontId="0" fillId="0" borderId="19" xfId="0" applyFont="1" applyBorder="1" applyAlignment="1">
      <alignment horizontal="center"/>
    </xf>
    <xf numFmtId="9" fontId="0" fillId="0" borderId="19" xfId="0" applyNumberFormat="1" applyBorder="1" applyAlignment="1">
      <alignment horizontal="center"/>
    </xf>
    <xf numFmtId="9" fontId="0" fillId="0" borderId="20" xfId="0" applyNumberFormat="1" applyBorder="1" applyAlignment="1">
      <alignment horizontal="center"/>
    </xf>
    <xf numFmtId="0" fontId="0" fillId="0" borderId="18" xfId="0" applyBorder="1" applyAlignment="1">
      <alignment/>
    </xf>
    <xf numFmtId="3" fontId="0" fillId="0" borderId="11" xfId="0" applyNumberFormat="1" applyBorder="1" applyAlignment="1">
      <alignment horizontal="center"/>
    </xf>
    <xf numFmtId="0" fontId="0" fillId="0" borderId="0" xfId="0" applyFill="1" applyAlignment="1">
      <alignment/>
    </xf>
    <xf numFmtId="0" fontId="0" fillId="34" borderId="0" xfId="0" applyFill="1" applyBorder="1" applyAlignment="1">
      <alignment wrapText="1"/>
    </xf>
    <xf numFmtId="0" fontId="0" fillId="34" borderId="0" xfId="0" applyFill="1" applyBorder="1" applyAlignment="1">
      <alignment/>
    </xf>
    <xf numFmtId="0" fontId="0" fillId="34" borderId="0" xfId="0" applyFill="1" applyBorder="1" applyAlignment="1">
      <alignment/>
    </xf>
    <xf numFmtId="0" fontId="47" fillId="35" borderId="13" xfId="0" applyFont="1" applyFill="1" applyBorder="1" applyAlignment="1">
      <alignment horizontal="center"/>
    </xf>
    <xf numFmtId="0" fontId="47" fillId="35" borderId="14" xfId="0" applyFont="1" applyFill="1" applyBorder="1" applyAlignment="1">
      <alignment horizontal="center"/>
    </xf>
    <xf numFmtId="0" fontId="45" fillId="0" borderId="18" xfId="0" applyFont="1" applyBorder="1" applyAlignment="1">
      <alignment horizontal="right"/>
    </xf>
    <xf numFmtId="3" fontId="47" fillId="0" borderId="0" xfId="0" applyNumberFormat="1" applyFont="1" applyBorder="1" applyAlignment="1">
      <alignment horizontal="center"/>
    </xf>
    <xf numFmtId="3" fontId="48" fillId="0" borderId="0" xfId="0" applyNumberFormat="1" applyFont="1" applyBorder="1" applyAlignment="1">
      <alignment horizontal="center" vertical="center"/>
    </xf>
    <xf numFmtId="0" fontId="48" fillId="0" borderId="18" xfId="0" applyFont="1" applyBorder="1" applyAlignment="1">
      <alignment horizontal="right"/>
    </xf>
    <xf numFmtId="3" fontId="48" fillId="0" borderId="11" xfId="0" applyNumberFormat="1" applyFont="1" applyBorder="1" applyAlignment="1">
      <alignment horizontal="center" vertical="center"/>
    </xf>
    <xf numFmtId="3" fontId="47" fillId="0" borderId="11" xfId="0" applyNumberFormat="1" applyFont="1" applyBorder="1" applyAlignment="1">
      <alignment horizontal="center"/>
    </xf>
    <xf numFmtId="3" fontId="0" fillId="0" borderId="20" xfId="0" applyNumberFormat="1" applyBorder="1" applyAlignment="1">
      <alignment horizontal="center"/>
    </xf>
    <xf numFmtId="3" fontId="45" fillId="0" borderId="0" xfId="0" applyNumberFormat="1" applyFont="1" applyBorder="1" applyAlignment="1">
      <alignment horizontal="center" vertical="center" wrapText="1"/>
    </xf>
    <xf numFmtId="3" fontId="45" fillId="0" borderId="11" xfId="0" applyNumberFormat="1" applyFont="1" applyBorder="1" applyAlignment="1">
      <alignment horizontal="center" vertical="center" wrapText="1"/>
    </xf>
    <xf numFmtId="3" fontId="45" fillId="0" borderId="13" xfId="0" applyNumberFormat="1" applyFont="1" applyBorder="1" applyAlignment="1">
      <alignment horizontal="center" vertical="center" wrapText="1"/>
    </xf>
    <xf numFmtId="3" fontId="45" fillId="0" borderId="14" xfId="0" applyNumberFormat="1" applyFont="1" applyBorder="1" applyAlignment="1">
      <alignment horizontal="center" vertical="center" wrapText="1"/>
    </xf>
    <xf numFmtId="3" fontId="45" fillId="0" borderId="0" xfId="0" applyNumberFormat="1" applyFont="1" applyBorder="1" applyAlignment="1">
      <alignment horizontal="center"/>
    </xf>
    <xf numFmtId="3" fontId="45" fillId="0" borderId="11" xfId="0" applyNumberFormat="1" applyFont="1" applyBorder="1" applyAlignment="1">
      <alignment horizontal="center"/>
    </xf>
    <xf numFmtId="0" fontId="45" fillId="0" borderId="12" xfId="0" applyFont="1" applyBorder="1" applyAlignment="1">
      <alignment horizontal="right"/>
    </xf>
    <xf numFmtId="3" fontId="0" fillId="0" borderId="0" xfId="0" applyNumberFormat="1" applyBorder="1" applyAlignment="1" quotePrefix="1">
      <alignment horizontal="center" vertical="center"/>
    </xf>
    <xf numFmtId="0" fontId="0" fillId="36" borderId="18" xfId="0" applyFill="1" applyBorder="1" applyAlignment="1">
      <alignment horizontal="left"/>
    </xf>
    <xf numFmtId="3" fontId="0" fillId="36" borderId="0" xfId="0" applyNumberFormat="1" applyFill="1" applyBorder="1" applyAlignment="1">
      <alignment horizontal="center"/>
    </xf>
    <xf numFmtId="3" fontId="0" fillId="36" borderId="11" xfId="0" applyNumberFormat="1" applyFill="1" applyBorder="1" applyAlignment="1">
      <alignment horizontal="center"/>
    </xf>
    <xf numFmtId="0" fontId="0" fillId="36" borderId="18" xfId="0" applyFill="1" applyBorder="1" applyAlignment="1">
      <alignment/>
    </xf>
    <xf numFmtId="0" fontId="0" fillId="36" borderId="0" xfId="0" applyFill="1" applyBorder="1" applyAlignment="1">
      <alignment/>
    </xf>
    <xf numFmtId="0" fontId="0" fillId="36" borderId="11" xfId="0" applyFill="1" applyBorder="1" applyAlignment="1">
      <alignment/>
    </xf>
    <xf numFmtId="3" fontId="0" fillId="0" borderId="11" xfId="0" applyNumberFormat="1" applyBorder="1" applyAlignment="1" quotePrefix="1">
      <alignment horizontal="center" vertical="center"/>
    </xf>
    <xf numFmtId="0" fontId="9" fillId="35" borderId="13" xfId="55" applyFont="1" applyFill="1" applyBorder="1" applyAlignment="1">
      <alignment horizontal="center"/>
      <protection/>
    </xf>
    <xf numFmtId="0" fontId="9" fillId="35" borderId="14" xfId="55" applyFont="1" applyFill="1" applyBorder="1" applyAlignment="1">
      <alignment horizontal="center"/>
      <protection/>
    </xf>
    <xf numFmtId="0" fontId="45" fillId="0" borderId="16" xfId="0" applyFont="1" applyBorder="1" applyAlignment="1">
      <alignment horizontal="left"/>
    </xf>
    <xf numFmtId="3" fontId="45" fillId="0" borderId="10" xfId="0" applyNumberFormat="1" applyFont="1" applyBorder="1" applyAlignment="1">
      <alignment horizontal="center"/>
    </xf>
    <xf numFmtId="3" fontId="45" fillId="0" borderId="17" xfId="0" applyNumberFormat="1" applyFont="1" applyBorder="1" applyAlignment="1">
      <alignment horizontal="center"/>
    </xf>
    <xf numFmtId="0" fontId="45" fillId="0" borderId="18" xfId="0" applyFont="1" applyBorder="1" applyAlignment="1">
      <alignment horizontal="left"/>
    </xf>
    <xf numFmtId="0" fontId="45" fillId="0" borderId="12" xfId="0" applyFont="1" applyBorder="1" applyAlignment="1">
      <alignment horizontal="left"/>
    </xf>
    <xf numFmtId="3" fontId="45" fillId="0" borderId="13" xfId="0" applyNumberFormat="1" applyFont="1" applyBorder="1" applyAlignment="1">
      <alignment horizontal="center"/>
    </xf>
    <xf numFmtId="3" fontId="45" fillId="0" borderId="14" xfId="0" applyNumberFormat="1" applyFont="1" applyBorder="1" applyAlignment="1">
      <alignment horizontal="center"/>
    </xf>
    <xf numFmtId="3" fontId="0" fillId="0" borderId="11" xfId="0" applyNumberFormat="1" applyFill="1" applyBorder="1" applyAlignment="1">
      <alignment horizontal="center"/>
    </xf>
    <xf numFmtId="3" fontId="0" fillId="0" borderId="13" xfId="0" applyNumberFormat="1" applyFill="1" applyBorder="1" applyAlignment="1">
      <alignment horizontal="center"/>
    </xf>
    <xf numFmtId="3" fontId="0" fillId="0" borderId="14" xfId="0" applyNumberFormat="1" applyFill="1" applyBorder="1" applyAlignment="1">
      <alignment horizontal="center"/>
    </xf>
    <xf numFmtId="0" fontId="49" fillId="34" borderId="0" xfId="0" applyFont="1" applyFill="1" applyBorder="1" applyAlignment="1">
      <alignment/>
    </xf>
    <xf numFmtId="0" fontId="50" fillId="34" borderId="0" xfId="0" applyFont="1" applyFill="1" applyBorder="1" applyAlignment="1">
      <alignment/>
    </xf>
    <xf numFmtId="0" fontId="45" fillId="37" borderId="0" xfId="0" applyFont="1" applyFill="1" applyBorder="1" applyAlignment="1">
      <alignment/>
    </xf>
    <xf numFmtId="0" fontId="0" fillId="37" borderId="0" xfId="0" applyFill="1" applyBorder="1" applyAlignment="1">
      <alignment/>
    </xf>
    <xf numFmtId="0" fontId="48" fillId="37" borderId="0" xfId="0" applyFont="1" applyFill="1" applyBorder="1" applyAlignment="1">
      <alignment/>
    </xf>
    <xf numFmtId="0" fontId="48" fillId="37" borderId="0" xfId="0" applyFont="1" applyFill="1" applyBorder="1" applyAlignment="1">
      <alignment wrapText="1"/>
    </xf>
    <xf numFmtId="0" fontId="0" fillId="37" borderId="0" xfId="0" applyFill="1" applyBorder="1" applyAlignment="1">
      <alignment wrapText="1"/>
    </xf>
    <xf numFmtId="0" fontId="0" fillId="37" borderId="0" xfId="0" applyFill="1" applyBorder="1" applyAlignment="1">
      <alignment/>
    </xf>
    <xf numFmtId="0" fontId="47" fillId="37" borderId="21" xfId="0" applyFont="1" applyFill="1" applyBorder="1" applyAlignment="1">
      <alignment horizontal="center"/>
    </xf>
    <xf numFmtId="0" fontId="0" fillId="37" borderId="21" xfId="0" applyFill="1" applyBorder="1" applyAlignment="1">
      <alignment horizontal="center"/>
    </xf>
    <xf numFmtId="0" fontId="47" fillId="37" borderId="22" xfId="0" applyFont="1" applyFill="1" applyBorder="1" applyAlignment="1">
      <alignment horizontal="center"/>
    </xf>
    <xf numFmtId="0" fontId="0" fillId="37" borderId="22" xfId="0" applyFill="1" applyBorder="1" applyAlignment="1">
      <alignment horizontal="center"/>
    </xf>
    <xf numFmtId="0" fontId="0" fillId="37" borderId="23" xfId="0" applyFill="1" applyBorder="1" applyAlignment="1">
      <alignment horizontal="center"/>
    </xf>
    <xf numFmtId="0" fontId="0" fillId="37" borderId="24" xfId="0" applyFill="1" applyBorder="1" applyAlignment="1">
      <alignment horizontal="center"/>
    </xf>
    <xf numFmtId="0" fontId="0" fillId="37" borderId="25" xfId="0" applyFill="1" applyBorder="1" applyAlignment="1">
      <alignment horizontal="center"/>
    </xf>
    <xf numFmtId="0" fontId="0" fillId="37" borderId="26" xfId="0" applyFill="1" applyBorder="1" applyAlignment="1">
      <alignment horizontal="center"/>
    </xf>
    <xf numFmtId="0" fontId="0" fillId="0" borderId="10" xfId="0" applyBorder="1" applyAlignment="1">
      <alignment horizontal="center"/>
    </xf>
    <xf numFmtId="0" fontId="0" fillId="0" borderId="19" xfId="0" applyBorder="1" applyAlignment="1">
      <alignment horizontal="center"/>
    </xf>
    <xf numFmtId="0" fontId="0" fillId="0" borderId="13" xfId="0" applyBorder="1" applyAlignment="1">
      <alignment horizontal="center"/>
    </xf>
    <xf numFmtId="0" fontId="0" fillId="0" borderId="17" xfId="0" applyBorder="1" applyAlignment="1">
      <alignment horizontal="center"/>
    </xf>
    <xf numFmtId="0" fontId="51" fillId="0" borderId="0" xfId="0" applyFont="1" applyBorder="1" applyAlignment="1">
      <alignment vertical="top"/>
    </xf>
    <xf numFmtId="0" fontId="0" fillId="0" borderId="0" xfId="0" applyBorder="1" applyAlignment="1">
      <alignment vertical="top"/>
    </xf>
    <xf numFmtId="0" fontId="0" fillId="0" borderId="0" xfId="0" applyAlignment="1">
      <alignment vertical="top"/>
    </xf>
    <xf numFmtId="0" fontId="52" fillId="0" borderId="0" xfId="0" applyFont="1" applyFill="1" applyBorder="1" applyAlignment="1">
      <alignment vertical="top"/>
    </xf>
    <xf numFmtId="0" fontId="45" fillId="0" borderId="0" xfId="0" applyFont="1" applyFill="1" applyBorder="1" applyAlignment="1">
      <alignment horizontal="center"/>
    </xf>
    <xf numFmtId="0" fontId="0" fillId="0" borderId="0" xfId="0" applyBorder="1" applyAlignment="1">
      <alignment/>
    </xf>
    <xf numFmtId="3" fontId="0" fillId="0" borderId="10" xfId="0" applyNumberFormat="1" applyFill="1" applyBorder="1" applyAlignment="1">
      <alignment horizontal="center"/>
    </xf>
    <xf numFmtId="3" fontId="0" fillId="0" borderId="17" xfId="0" applyNumberFormat="1" applyFill="1" applyBorder="1" applyAlignment="1">
      <alignment horizontal="center"/>
    </xf>
    <xf numFmtId="0" fontId="52" fillId="0" borderId="0" xfId="0" applyFont="1" applyFill="1" applyBorder="1" applyAlignment="1">
      <alignment/>
    </xf>
    <xf numFmtId="0" fontId="45" fillId="0" borderId="0" xfId="0" applyFont="1" applyBorder="1" applyAlignment="1">
      <alignment horizontal="center"/>
    </xf>
    <xf numFmtId="0" fontId="0" fillId="37" borderId="27" xfId="0" applyFill="1" applyBorder="1" applyAlignment="1">
      <alignment horizontal="center"/>
    </xf>
    <xf numFmtId="0" fontId="0" fillId="37" borderId="28" xfId="0" applyFill="1" applyBorder="1" applyAlignment="1">
      <alignment horizontal="center"/>
    </xf>
    <xf numFmtId="0" fontId="45" fillId="37" borderId="29" xfId="0" applyFont="1" applyFill="1" applyBorder="1" applyAlignment="1">
      <alignment horizontal="center"/>
    </xf>
    <xf numFmtId="0" fontId="45" fillId="37" borderId="25" xfId="0" applyFont="1" applyFill="1" applyBorder="1" applyAlignment="1">
      <alignment horizontal="center"/>
    </xf>
    <xf numFmtId="0" fontId="0" fillId="37" borderId="0" xfId="0" applyFill="1" applyBorder="1" applyAlignment="1">
      <alignment wrapText="1"/>
    </xf>
    <xf numFmtId="0" fontId="0" fillId="37" borderId="0" xfId="0" applyFill="1" applyBorder="1" applyAlignment="1">
      <alignment vertical="top" wrapText="1"/>
    </xf>
    <xf numFmtId="0" fontId="48" fillId="34" borderId="0" xfId="0" applyFont="1" applyFill="1" applyBorder="1" applyAlignment="1">
      <alignment horizontal="left" vertical="center" wrapText="1"/>
    </xf>
    <xf numFmtId="0" fontId="0" fillId="37" borderId="0" xfId="0" applyFill="1" applyBorder="1" applyAlignment="1">
      <alignment/>
    </xf>
    <xf numFmtId="0" fontId="51" fillId="0" borderId="16" xfId="0" applyFont="1" applyBorder="1" applyAlignment="1">
      <alignment vertical="top" wrapText="1"/>
    </xf>
    <xf numFmtId="0" fontId="51" fillId="0" borderId="10" xfId="0" applyFont="1" applyBorder="1" applyAlignment="1">
      <alignment vertical="top" wrapText="1"/>
    </xf>
    <xf numFmtId="0" fontId="51" fillId="0" borderId="17" xfId="0" applyFont="1" applyBorder="1" applyAlignment="1">
      <alignment vertical="top" wrapText="1"/>
    </xf>
    <xf numFmtId="0" fontId="51" fillId="0" borderId="18" xfId="0" applyFont="1" applyBorder="1" applyAlignment="1">
      <alignment vertical="top" wrapText="1"/>
    </xf>
    <xf numFmtId="0" fontId="51" fillId="0" borderId="0" xfId="0" applyFont="1" applyBorder="1" applyAlignment="1">
      <alignment vertical="top" wrapText="1"/>
    </xf>
    <xf numFmtId="0" fontId="51" fillId="0" borderId="11" xfId="0" applyFont="1" applyBorder="1" applyAlignment="1">
      <alignment vertical="top" wrapText="1"/>
    </xf>
    <xf numFmtId="0" fontId="51" fillId="0" borderId="12" xfId="0" applyFont="1" applyBorder="1" applyAlignment="1">
      <alignment vertical="top" wrapText="1"/>
    </xf>
    <xf numFmtId="0" fontId="51" fillId="0" borderId="13" xfId="0" applyFont="1" applyBorder="1" applyAlignment="1">
      <alignment vertical="top" wrapText="1"/>
    </xf>
    <xf numFmtId="0" fontId="51" fillId="0" borderId="14" xfId="0" applyFont="1" applyBorder="1" applyAlignment="1">
      <alignment vertical="top" wrapText="1"/>
    </xf>
    <xf numFmtId="0" fontId="0" fillId="36" borderId="0" xfId="0" applyFont="1" applyFill="1" applyAlignment="1">
      <alignment/>
    </xf>
    <xf numFmtId="0" fontId="0" fillId="0" borderId="10" xfId="0" applyBorder="1" applyAlignment="1">
      <alignment horizontal="center"/>
    </xf>
    <xf numFmtId="0" fontId="0" fillId="0" borderId="10" xfId="0" applyFont="1" applyBorder="1" applyAlignment="1">
      <alignment horizontal="center"/>
    </xf>
    <xf numFmtId="0" fontId="0" fillId="0" borderId="17" xfId="0" applyFont="1" applyBorder="1" applyAlignment="1">
      <alignment horizontal="center"/>
    </xf>
    <xf numFmtId="0" fontId="45" fillId="0" borderId="16" xfId="0" applyFont="1" applyBorder="1" applyAlignment="1">
      <alignment/>
    </xf>
    <xf numFmtId="0" fontId="45" fillId="0" borderId="18" xfId="0" applyFont="1" applyBorder="1" applyAlignment="1">
      <alignment/>
    </xf>
    <xf numFmtId="0" fontId="45" fillId="0" borderId="19" xfId="0" applyFont="1" applyBorder="1" applyAlignment="1">
      <alignment horizontal="center"/>
    </xf>
    <xf numFmtId="0" fontId="45" fillId="0" borderId="20" xfId="0" applyFont="1" applyBorder="1" applyAlignment="1">
      <alignment horizontal="center"/>
    </xf>
    <xf numFmtId="3" fontId="0" fillId="0" borderId="10" xfId="0" applyNumberFormat="1" applyFont="1" applyBorder="1" applyAlignment="1">
      <alignment horizontal="center"/>
    </xf>
    <xf numFmtId="3" fontId="0" fillId="0" borderId="17" xfId="0" applyNumberFormat="1" applyFont="1" applyBorder="1" applyAlignment="1">
      <alignment horizontal="center"/>
    </xf>
    <xf numFmtId="3" fontId="0" fillId="0" borderId="13" xfId="0" applyNumberFormat="1" applyFont="1" applyBorder="1" applyAlignment="1">
      <alignment horizontal="center"/>
    </xf>
    <xf numFmtId="3" fontId="0" fillId="0" borderId="14" xfId="0" applyNumberFormat="1" applyFont="1" applyBorder="1" applyAlignment="1">
      <alignment horizontal="center"/>
    </xf>
    <xf numFmtId="9" fontId="0" fillId="0" borderId="19" xfId="0" applyNumberFormat="1" applyFont="1" applyBorder="1" applyAlignment="1">
      <alignment horizontal="center"/>
    </xf>
    <xf numFmtId="9" fontId="0" fillId="0" borderId="20" xfId="0" applyNumberFormat="1" applyFont="1" applyBorder="1" applyAlignment="1">
      <alignment horizontal="center"/>
    </xf>
    <xf numFmtId="0" fontId="45" fillId="35" borderId="15" xfId="0" applyFont="1" applyFill="1" applyBorder="1" applyAlignment="1">
      <alignment horizontal="center"/>
    </xf>
    <xf numFmtId="0" fontId="45" fillId="35" borderId="19" xfId="0" applyFont="1" applyFill="1" applyBorder="1" applyAlignment="1">
      <alignment horizontal="center"/>
    </xf>
    <xf numFmtId="0" fontId="45" fillId="35" borderId="20" xfId="0" applyFont="1" applyFill="1" applyBorder="1" applyAlignment="1">
      <alignment horizontal="center"/>
    </xf>
    <xf numFmtId="0" fontId="45" fillId="0" borderId="16" xfId="0" applyFont="1" applyBorder="1" applyAlignment="1">
      <alignment horizontal="left" wrapText="1"/>
    </xf>
    <xf numFmtId="0" fontId="45" fillId="0" borderId="18" xfId="0" applyFont="1" applyBorder="1" applyAlignment="1">
      <alignment horizontal="left" wrapText="1"/>
    </xf>
    <xf numFmtId="0" fontId="0" fillId="36" borderId="13" xfId="0" applyFont="1" applyFill="1" applyBorder="1" applyAlignment="1">
      <alignment/>
    </xf>
    <xf numFmtId="0" fontId="52" fillId="0" borderId="16" xfId="0" applyFont="1" applyFill="1" applyBorder="1" applyAlignment="1">
      <alignment vertical="top" wrapText="1"/>
    </xf>
    <xf numFmtId="0" fontId="52" fillId="0" borderId="10" xfId="0" applyFont="1" applyBorder="1" applyAlignment="1">
      <alignment vertical="top" wrapText="1"/>
    </xf>
    <xf numFmtId="0" fontId="52" fillId="0" borderId="17" xfId="0" applyFont="1" applyBorder="1" applyAlignment="1">
      <alignment vertical="top" wrapText="1"/>
    </xf>
    <xf numFmtId="0" fontId="52" fillId="0" borderId="18" xfId="0" applyFont="1" applyBorder="1" applyAlignment="1">
      <alignment vertical="top" wrapText="1"/>
    </xf>
    <xf numFmtId="0" fontId="52" fillId="0" borderId="0" xfId="0" applyFont="1" applyBorder="1" applyAlignment="1">
      <alignment vertical="top" wrapText="1"/>
    </xf>
    <xf numFmtId="0" fontId="52" fillId="0" borderId="11" xfId="0" applyFont="1" applyBorder="1" applyAlignment="1">
      <alignment vertical="top" wrapText="1"/>
    </xf>
    <xf numFmtId="0" fontId="52" fillId="0" borderId="12" xfId="0" applyFont="1" applyBorder="1" applyAlignment="1">
      <alignment vertical="top" wrapText="1"/>
    </xf>
    <xf numFmtId="0" fontId="52" fillId="0" borderId="13" xfId="0" applyFont="1" applyBorder="1" applyAlignment="1">
      <alignment vertical="top" wrapText="1"/>
    </xf>
    <xf numFmtId="0" fontId="52" fillId="0" borderId="14" xfId="0" applyFont="1" applyBorder="1" applyAlignment="1">
      <alignment vertical="top" wrapText="1"/>
    </xf>
    <xf numFmtId="0" fontId="52" fillId="0" borderId="16" xfId="0" applyFont="1" applyBorder="1" applyAlignment="1">
      <alignment vertical="top" wrapText="1"/>
    </xf>
    <xf numFmtId="0" fontId="51" fillId="0" borderId="16" xfId="0" applyFont="1" applyBorder="1" applyAlignment="1">
      <alignment horizontal="left" vertical="top" wrapText="1"/>
    </xf>
    <xf numFmtId="0" fontId="0" fillId="35" borderId="10" xfId="0" applyFill="1" applyBorder="1" applyAlignment="1">
      <alignment horizontal="center"/>
    </xf>
    <xf numFmtId="0" fontId="0" fillId="35" borderId="17" xfId="0" applyFill="1" applyBorder="1" applyAlignment="1">
      <alignment horizontal="center"/>
    </xf>
    <xf numFmtId="0" fontId="8" fillId="35" borderId="16" xfId="55" applyFont="1" applyFill="1" applyBorder="1" applyAlignment="1">
      <alignment/>
      <protection/>
    </xf>
    <xf numFmtId="0" fontId="0" fillId="35" borderId="12" xfId="0" applyFill="1" applyBorder="1" applyAlignment="1">
      <alignment/>
    </xf>
    <xf numFmtId="0" fontId="52" fillId="0" borderId="15" xfId="0" applyFont="1" applyBorder="1" applyAlignment="1">
      <alignment/>
    </xf>
    <xf numFmtId="0" fontId="52" fillId="0" borderId="19" xfId="0" applyFont="1" applyBorder="1" applyAlignment="1">
      <alignment/>
    </xf>
    <xf numFmtId="0" fontId="52" fillId="0" borderId="20" xfId="0" applyFont="1" applyBorder="1" applyAlignment="1">
      <alignment/>
    </xf>
    <xf numFmtId="0" fontId="52" fillId="0" borderId="10" xfId="0" applyFont="1" applyFill="1" applyBorder="1" applyAlignment="1">
      <alignment vertical="top" wrapText="1"/>
    </xf>
    <xf numFmtId="0" fontId="52" fillId="0" borderId="17" xfId="0" applyFont="1" applyFill="1"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0" xfId="0" applyBorder="1" applyAlignment="1">
      <alignment vertical="top" wrapText="1"/>
    </xf>
    <xf numFmtId="0" fontId="0" fillId="0" borderId="17" xfId="0" applyBorder="1" applyAlignment="1">
      <alignment vertical="top" wrapText="1"/>
    </xf>
    <xf numFmtId="0" fontId="0" fillId="0" borderId="19" xfId="0" applyBorder="1" applyAlignment="1">
      <alignment horizontal="center"/>
    </xf>
    <xf numFmtId="0" fontId="0" fillId="0" borderId="20" xfId="0" applyBorder="1" applyAlignment="1">
      <alignment horizontal="center"/>
    </xf>
    <xf numFmtId="0" fontId="52" fillId="0" borderId="15" xfId="0" applyFont="1" applyFill="1" applyBorder="1" applyAlignment="1">
      <alignment/>
    </xf>
    <xf numFmtId="0" fontId="0" fillId="0" borderId="19" xfId="0" applyBorder="1" applyAlignment="1">
      <alignment/>
    </xf>
    <xf numFmtId="0" fontId="0" fillId="0" borderId="20" xfId="0" applyBorder="1" applyAlignment="1">
      <alignment/>
    </xf>
    <xf numFmtId="0" fontId="0" fillId="33" borderId="0" xfId="0" applyFill="1" applyBorder="1" applyAlignment="1">
      <alignment/>
    </xf>
    <xf numFmtId="0" fontId="0" fillId="0" borderId="0" xfId="0" applyAlignment="1">
      <alignment/>
    </xf>
    <xf numFmtId="0" fontId="0" fillId="33" borderId="0" xfId="0" applyFill="1" applyAlignment="1">
      <alignment/>
    </xf>
    <xf numFmtId="0" fontId="0" fillId="33" borderId="13" xfId="0" applyFill="1" applyBorder="1" applyAlignment="1">
      <alignment/>
    </xf>
    <xf numFmtId="0" fontId="0" fillId="0" borderId="13" xfId="0" applyBorder="1" applyAlignment="1">
      <alignment/>
    </xf>
    <xf numFmtId="0" fontId="0" fillId="33" borderId="10" xfId="0" applyFill="1" applyBorder="1" applyAlignment="1">
      <alignment/>
    </xf>
    <xf numFmtId="0" fontId="51" fillId="0" borderId="16" xfId="0" applyFont="1" applyFill="1" applyBorder="1" applyAlignment="1">
      <alignment vertical="top" wrapText="1"/>
    </xf>
    <xf numFmtId="0" fontId="0" fillId="0" borderId="18" xfId="0" applyBorder="1" applyAlignment="1">
      <alignment vertical="top" wrapText="1"/>
    </xf>
    <xf numFmtId="0" fontId="0" fillId="0" borderId="0" xfId="0" applyBorder="1" applyAlignment="1">
      <alignment vertical="top" wrapText="1"/>
    </xf>
    <xf numFmtId="0" fontId="0" fillId="0" borderId="11" xfId="0" applyBorder="1" applyAlignment="1">
      <alignment vertical="top" wrapText="1"/>
    </xf>
    <xf numFmtId="0" fontId="45" fillId="0" borderId="10" xfId="0" applyFont="1" applyBorder="1" applyAlignment="1">
      <alignment horizontal="center"/>
    </xf>
    <xf numFmtId="0" fontId="45" fillId="0" borderId="12" xfId="0" applyFont="1" applyBorder="1" applyAlignment="1">
      <alignment/>
    </xf>
    <xf numFmtId="0" fontId="51" fillId="0" borderId="19" xfId="0" applyFont="1" applyBorder="1" applyAlignment="1">
      <alignment/>
    </xf>
    <xf numFmtId="0" fontId="51" fillId="0" borderId="20" xfId="0" applyFont="1" applyBorder="1" applyAlignment="1">
      <alignment/>
    </xf>
    <xf numFmtId="0" fontId="45" fillId="0" borderId="15" xfId="0" applyFont="1" applyFill="1" applyBorder="1" applyAlignment="1">
      <alignment horizontal="left"/>
    </xf>
    <xf numFmtId="0" fontId="45" fillId="0" borderId="19" xfId="0" applyFont="1" applyFill="1" applyBorder="1" applyAlignment="1">
      <alignment horizontal="left"/>
    </xf>
    <xf numFmtId="0" fontId="45" fillId="0" borderId="20" xfId="0" applyFont="1" applyFill="1" applyBorder="1" applyAlignment="1">
      <alignment horizontal="left"/>
    </xf>
    <xf numFmtId="0" fontId="45" fillId="0" borderId="10" xfId="0" applyFont="1" applyFill="1" applyBorder="1" applyAlignment="1">
      <alignment horizontal="center"/>
    </xf>
    <xf numFmtId="0" fontId="45" fillId="0" borderId="10" xfId="0" applyFont="1" applyBorder="1" applyAlignment="1">
      <alignment/>
    </xf>
    <xf numFmtId="0" fontId="45" fillId="0" borderId="17" xfId="0" applyFont="1" applyBorder="1" applyAlignment="1">
      <alignment/>
    </xf>
    <xf numFmtId="0" fontId="45" fillId="0" borderId="13" xfId="0" applyFont="1" applyBorder="1" applyAlignment="1">
      <alignment/>
    </xf>
    <xf numFmtId="0" fontId="45" fillId="0" borderId="14" xfId="0" applyFont="1" applyBorder="1" applyAlignment="1">
      <alignment/>
    </xf>
    <xf numFmtId="0" fontId="51" fillId="0" borderId="13" xfId="0" applyFont="1" applyBorder="1" applyAlignment="1">
      <alignment/>
    </xf>
    <xf numFmtId="0" fontId="51" fillId="0" borderId="14" xfId="0" applyFont="1" applyBorder="1" applyAlignment="1">
      <alignment/>
    </xf>
    <xf numFmtId="2" fontId="45" fillId="0" borderId="15" xfId="0" applyNumberFormat="1" applyFont="1" applyFill="1" applyBorder="1" applyAlignment="1">
      <alignment/>
    </xf>
    <xf numFmtId="2" fontId="45" fillId="0" borderId="19" xfId="0" applyNumberFormat="1" applyFont="1" applyBorder="1" applyAlignment="1">
      <alignment/>
    </xf>
    <xf numFmtId="2" fontId="45" fillId="0" borderId="20" xfId="0" applyNumberFormat="1" applyFont="1" applyBorder="1" applyAlignment="1">
      <alignment/>
    </xf>
    <xf numFmtId="0" fontId="51" fillId="0" borderId="10" xfId="0" applyFont="1" applyBorder="1" applyAlignment="1">
      <alignment/>
    </xf>
    <xf numFmtId="0" fontId="51" fillId="0" borderId="17" xfId="0" applyFont="1" applyBorder="1" applyAlignment="1">
      <alignment/>
    </xf>
    <xf numFmtId="0" fontId="0" fillId="0" borderId="19" xfId="0" applyFill="1" applyBorder="1" applyAlignment="1">
      <alignment horizontal="left"/>
    </xf>
    <xf numFmtId="0" fontId="0" fillId="0" borderId="20" xfId="0" applyFill="1" applyBorder="1" applyAlignment="1">
      <alignment horizontal="left"/>
    </xf>
    <xf numFmtId="0" fontId="0" fillId="0" borderId="12" xfId="0" applyBorder="1" applyAlignment="1">
      <alignment/>
    </xf>
    <xf numFmtId="0" fontId="51" fillId="0" borderId="0" xfId="0" applyFont="1" applyBorder="1" applyAlignment="1">
      <alignment/>
    </xf>
    <xf numFmtId="0" fontId="51" fillId="0" borderId="11" xfId="0" applyFont="1" applyBorder="1" applyAlignment="1">
      <alignment/>
    </xf>
    <xf numFmtId="0" fontId="0" fillId="0" borderId="0" xfId="0" applyBorder="1" applyAlignment="1">
      <alignment horizontal="center"/>
    </xf>
    <xf numFmtId="0" fontId="0" fillId="0" borderId="13" xfId="0" applyBorder="1" applyAlignment="1">
      <alignment horizontal="center"/>
    </xf>
    <xf numFmtId="0" fontId="45" fillId="0" borderId="17" xfId="0" applyFont="1" applyBorder="1" applyAlignment="1">
      <alignment horizontal="center"/>
    </xf>
    <xf numFmtId="0" fontId="0" fillId="0" borderId="17" xfId="0" applyBorder="1" applyAlignment="1">
      <alignment horizontal="center"/>
    </xf>
    <xf numFmtId="2" fontId="45" fillId="0" borderId="10" xfId="0" applyNumberFormat="1" applyFont="1" applyBorder="1" applyAlignment="1">
      <alignment horizontal="center"/>
    </xf>
    <xf numFmtId="2" fontId="45" fillId="0" borderId="17" xfId="0" applyNumberFormat="1" applyFont="1" applyBorder="1" applyAlignment="1">
      <alignment horizontal="center"/>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45" fillId="35" borderId="18" xfId="0" applyFont="1" applyFill="1" applyBorder="1" applyAlignment="1">
      <alignment/>
    </xf>
    <xf numFmtId="0" fontId="45" fillId="35" borderId="12" xfId="0" applyFont="1" applyFill="1" applyBorder="1" applyAlignment="1">
      <alignment/>
    </xf>
    <xf numFmtId="0" fontId="0" fillId="35" borderId="0" xfId="0" applyFill="1" applyBorder="1" applyAlignment="1">
      <alignment horizontal="center"/>
    </xf>
    <xf numFmtId="0" fontId="0" fillId="35" borderId="11" xfId="0" applyFill="1" applyBorder="1" applyAlignment="1">
      <alignment horizontal="center"/>
    </xf>
    <xf numFmtId="0" fontId="47" fillId="0" borderId="18" xfId="0" applyFont="1" applyBorder="1" applyAlignment="1">
      <alignment/>
    </xf>
    <xf numFmtId="0" fontId="47" fillId="0" borderId="0" xfId="0" applyFont="1" applyBorder="1" applyAlignment="1">
      <alignment/>
    </xf>
    <xf numFmtId="0" fontId="47" fillId="0" borderId="11" xfId="0" applyFont="1" applyBorder="1" applyAlignment="1">
      <alignment/>
    </xf>
    <xf numFmtId="0" fontId="0" fillId="0" borderId="0" xfId="0" applyBorder="1" applyAlignment="1">
      <alignment horizontal="center" vertical="center"/>
    </xf>
    <xf numFmtId="0" fontId="0" fillId="0" borderId="11" xfId="0" applyBorder="1" applyAlignment="1">
      <alignment horizontal="center" vertical="center"/>
    </xf>
    <xf numFmtId="0" fontId="45" fillId="35" borderId="0" xfId="0" applyFont="1" applyFill="1" applyBorder="1" applyAlignment="1">
      <alignment horizontal="center"/>
    </xf>
    <xf numFmtId="0" fontId="45" fillId="35" borderId="11"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Q45"/>
  <sheetViews>
    <sheetView tabSelected="1" zoomScalePageLayoutView="0" workbookViewId="0" topLeftCell="A1">
      <selection activeCell="F8" sqref="F8"/>
    </sheetView>
  </sheetViews>
  <sheetFormatPr defaultColWidth="9.140625" defaultRowHeight="15"/>
  <cols>
    <col min="1" max="1" width="1.7109375" style="52" customWidth="1"/>
    <col min="2" max="3" width="2.7109375" style="52" customWidth="1"/>
    <col min="4" max="4" width="13.140625" style="52" customWidth="1"/>
    <col min="5" max="6" width="17.7109375" style="52" bestFit="1" customWidth="1"/>
    <col min="7" max="7" width="15.28125" style="52" bestFit="1" customWidth="1"/>
    <col min="8" max="16384" width="9.140625" style="52" customWidth="1"/>
  </cols>
  <sheetData>
    <row r="1" ht="8.25" customHeight="1"/>
    <row r="2" spans="2:17" ht="15" customHeight="1">
      <c r="B2" s="89" t="s">
        <v>94</v>
      </c>
      <c r="C2" s="89"/>
      <c r="D2" s="89"/>
      <c r="E2" s="89"/>
      <c r="F2" s="89"/>
      <c r="G2" s="89"/>
      <c r="H2" s="89"/>
      <c r="I2" s="89"/>
      <c r="J2" s="89"/>
      <c r="K2" s="89"/>
      <c r="L2" s="89"/>
      <c r="M2" s="89"/>
      <c r="N2" s="89"/>
      <c r="O2" s="89"/>
      <c r="P2" s="89"/>
      <c r="Q2" s="90" t="s">
        <v>95</v>
      </c>
    </row>
    <row r="3" ht="6" customHeight="1"/>
    <row r="4" spans="2:17" ht="15" customHeight="1">
      <c r="B4" s="125" t="s">
        <v>98</v>
      </c>
      <c r="C4" s="125"/>
      <c r="D4" s="125"/>
      <c r="E4" s="125"/>
      <c r="F4" s="125"/>
      <c r="G4" s="125"/>
      <c r="H4" s="125"/>
      <c r="I4" s="125"/>
      <c r="J4" s="125"/>
      <c r="K4" s="125"/>
      <c r="L4" s="125"/>
      <c r="M4" s="125"/>
      <c r="N4" s="125"/>
      <c r="O4" s="125"/>
      <c r="P4" s="125"/>
      <c r="Q4" s="125"/>
    </row>
    <row r="5" spans="2:17" ht="15">
      <c r="B5" s="125"/>
      <c r="C5" s="125"/>
      <c r="D5" s="125"/>
      <c r="E5" s="125"/>
      <c r="F5" s="125"/>
      <c r="G5" s="125"/>
      <c r="H5" s="125"/>
      <c r="I5" s="125"/>
      <c r="J5" s="125"/>
      <c r="K5" s="125"/>
      <c r="L5" s="125"/>
      <c r="M5" s="125"/>
      <c r="N5" s="125"/>
      <c r="O5" s="125"/>
      <c r="P5" s="125"/>
      <c r="Q5" s="125"/>
    </row>
    <row r="6" spans="2:17" ht="15">
      <c r="B6" s="125"/>
      <c r="C6" s="125"/>
      <c r="D6" s="125"/>
      <c r="E6" s="125"/>
      <c r="F6" s="125"/>
      <c r="G6" s="125"/>
      <c r="H6" s="125"/>
      <c r="I6" s="125"/>
      <c r="J6" s="125"/>
      <c r="K6" s="125"/>
      <c r="L6" s="125"/>
      <c r="M6" s="125"/>
      <c r="N6" s="125"/>
      <c r="O6" s="125"/>
      <c r="P6" s="125"/>
      <c r="Q6" s="125"/>
    </row>
    <row r="7" spans="2:17" ht="15">
      <c r="B7" s="125"/>
      <c r="C7" s="125"/>
      <c r="D7" s="125"/>
      <c r="E7" s="125"/>
      <c r="F7" s="125"/>
      <c r="G7" s="125"/>
      <c r="H7" s="125"/>
      <c r="I7" s="125"/>
      <c r="J7" s="125"/>
      <c r="K7" s="125"/>
      <c r="L7" s="125"/>
      <c r="M7" s="125"/>
      <c r="N7" s="125"/>
      <c r="O7" s="125"/>
      <c r="P7" s="125"/>
      <c r="Q7" s="125"/>
    </row>
    <row r="9" spans="3:17" ht="15">
      <c r="C9" s="91" t="s">
        <v>90</v>
      </c>
      <c r="D9" s="92"/>
      <c r="E9" s="93"/>
      <c r="F9" s="92"/>
      <c r="G9" s="92"/>
      <c r="H9" s="92"/>
      <c r="I9" s="92"/>
      <c r="J9" s="92"/>
      <c r="K9" s="92"/>
      <c r="L9" s="92"/>
      <c r="M9" s="92"/>
      <c r="N9" s="92"/>
      <c r="O9" s="92"/>
      <c r="P9" s="92"/>
      <c r="Q9" s="92"/>
    </row>
    <row r="10" spans="3:17" ht="6" customHeight="1">
      <c r="C10" s="92"/>
      <c r="D10" s="92"/>
      <c r="E10" s="92"/>
      <c r="F10" s="92"/>
      <c r="G10" s="92"/>
      <c r="H10" s="92"/>
      <c r="I10" s="92"/>
      <c r="J10" s="92"/>
      <c r="K10" s="92"/>
      <c r="L10" s="92"/>
      <c r="M10" s="92"/>
      <c r="N10" s="92"/>
      <c r="O10" s="92"/>
      <c r="P10" s="92"/>
      <c r="Q10" s="92"/>
    </row>
    <row r="11" spans="3:17" ht="15" customHeight="1">
      <c r="C11" s="92"/>
      <c r="D11" s="123" t="s">
        <v>110</v>
      </c>
      <c r="E11" s="123"/>
      <c r="F11" s="123"/>
      <c r="G11" s="123"/>
      <c r="H11" s="123"/>
      <c r="I11" s="123"/>
      <c r="J11" s="123"/>
      <c r="K11" s="123"/>
      <c r="L11" s="123"/>
      <c r="M11" s="123"/>
      <c r="N11" s="123"/>
      <c r="O11" s="123"/>
      <c r="P11" s="123"/>
      <c r="Q11" s="123"/>
    </row>
    <row r="12" spans="3:17" ht="15">
      <c r="C12" s="92"/>
      <c r="D12" s="123"/>
      <c r="E12" s="123"/>
      <c r="F12" s="123"/>
      <c r="G12" s="123"/>
      <c r="H12" s="123"/>
      <c r="I12" s="123"/>
      <c r="J12" s="123"/>
      <c r="K12" s="123"/>
      <c r="L12" s="123"/>
      <c r="M12" s="123"/>
      <c r="N12" s="123"/>
      <c r="O12" s="123"/>
      <c r="P12" s="123"/>
      <c r="Q12" s="123"/>
    </row>
    <row r="13" spans="3:17" ht="15">
      <c r="C13" s="92"/>
      <c r="D13" s="123"/>
      <c r="E13" s="123"/>
      <c r="F13" s="123"/>
      <c r="G13" s="123"/>
      <c r="H13" s="123"/>
      <c r="I13" s="123"/>
      <c r="J13" s="123"/>
      <c r="K13" s="123"/>
      <c r="L13" s="123"/>
      <c r="M13" s="123"/>
      <c r="N13" s="123"/>
      <c r="O13" s="123"/>
      <c r="P13" s="123"/>
      <c r="Q13" s="123"/>
    </row>
    <row r="14" spans="4:17" ht="15">
      <c r="D14" s="50"/>
      <c r="E14" s="50"/>
      <c r="F14" s="50"/>
      <c r="G14" s="50"/>
      <c r="H14" s="50"/>
      <c r="I14" s="50"/>
      <c r="J14" s="50"/>
      <c r="K14" s="50"/>
      <c r="L14" s="50"/>
      <c r="M14" s="50"/>
      <c r="N14" s="50"/>
      <c r="O14" s="50"/>
      <c r="P14" s="50"/>
      <c r="Q14" s="50"/>
    </row>
    <row r="15" spans="3:17" ht="15">
      <c r="C15" s="91" t="s">
        <v>91</v>
      </c>
      <c r="D15" s="94"/>
      <c r="E15" s="95"/>
      <c r="F15" s="95"/>
      <c r="G15" s="95"/>
      <c r="H15" s="95"/>
      <c r="I15" s="95"/>
      <c r="J15" s="95"/>
      <c r="K15" s="95"/>
      <c r="L15" s="95"/>
      <c r="M15" s="95"/>
      <c r="N15" s="95"/>
      <c r="O15" s="95"/>
      <c r="P15" s="95"/>
      <c r="Q15" s="95"/>
    </row>
    <row r="16" spans="3:17" ht="6" customHeight="1">
      <c r="C16" s="92"/>
      <c r="D16" s="95"/>
      <c r="E16" s="95"/>
      <c r="F16" s="95"/>
      <c r="G16" s="95"/>
      <c r="H16" s="95"/>
      <c r="I16" s="95"/>
      <c r="J16" s="95"/>
      <c r="K16" s="95"/>
      <c r="L16" s="95"/>
      <c r="M16" s="95"/>
      <c r="N16" s="95"/>
      <c r="O16" s="95"/>
      <c r="P16" s="95"/>
      <c r="Q16" s="95"/>
    </row>
    <row r="17" spans="3:17" ht="15">
      <c r="C17" s="92"/>
      <c r="D17" s="124" t="s">
        <v>88</v>
      </c>
      <c r="E17" s="124"/>
      <c r="F17" s="124"/>
      <c r="G17" s="124"/>
      <c r="H17" s="124"/>
      <c r="I17" s="124"/>
      <c r="J17" s="124"/>
      <c r="K17" s="124"/>
      <c r="L17" s="124"/>
      <c r="M17" s="124"/>
      <c r="N17" s="124"/>
      <c r="O17" s="124"/>
      <c r="P17" s="124"/>
      <c r="Q17" s="124"/>
    </row>
    <row r="18" spans="3:17" ht="15">
      <c r="C18" s="92"/>
      <c r="D18" s="124"/>
      <c r="E18" s="124"/>
      <c r="F18" s="124"/>
      <c r="G18" s="124"/>
      <c r="H18" s="124"/>
      <c r="I18" s="124"/>
      <c r="J18" s="124"/>
      <c r="K18" s="124"/>
      <c r="L18" s="124"/>
      <c r="M18" s="124"/>
      <c r="N18" s="124"/>
      <c r="O18" s="124"/>
      <c r="P18" s="124"/>
      <c r="Q18" s="124"/>
    </row>
    <row r="19" spans="4:17" ht="15">
      <c r="D19" s="50"/>
      <c r="E19" s="50"/>
      <c r="F19" s="50"/>
      <c r="G19" s="50"/>
      <c r="H19" s="50"/>
      <c r="I19" s="50"/>
      <c r="J19" s="50"/>
      <c r="K19" s="50"/>
      <c r="L19" s="50"/>
      <c r="M19" s="50"/>
      <c r="N19" s="50"/>
      <c r="O19" s="50"/>
      <c r="P19" s="50"/>
      <c r="Q19" s="50"/>
    </row>
    <row r="20" spans="3:17" ht="15">
      <c r="C20" s="91" t="s">
        <v>92</v>
      </c>
      <c r="D20" s="96"/>
      <c r="E20" s="95"/>
      <c r="F20" s="95"/>
      <c r="G20" s="95"/>
      <c r="H20" s="95"/>
      <c r="I20" s="95"/>
      <c r="J20" s="95"/>
      <c r="K20" s="95"/>
      <c r="L20" s="95"/>
      <c r="M20" s="95"/>
      <c r="N20" s="95"/>
      <c r="O20" s="95"/>
      <c r="P20" s="95"/>
      <c r="Q20" s="95"/>
    </row>
    <row r="21" spans="3:17" ht="6" customHeight="1">
      <c r="C21" s="92"/>
      <c r="D21" s="95"/>
      <c r="E21" s="95"/>
      <c r="F21" s="95"/>
      <c r="G21" s="95"/>
      <c r="H21" s="95"/>
      <c r="I21" s="95"/>
      <c r="J21" s="95"/>
      <c r="K21" s="95"/>
      <c r="L21" s="95"/>
      <c r="M21" s="95"/>
      <c r="N21" s="95"/>
      <c r="O21" s="95"/>
      <c r="P21" s="95"/>
      <c r="Q21" s="95"/>
    </row>
    <row r="22" spans="3:17" ht="15">
      <c r="C22" s="92"/>
      <c r="D22" s="126" t="s">
        <v>89</v>
      </c>
      <c r="E22" s="126"/>
      <c r="F22" s="126"/>
      <c r="G22" s="126"/>
      <c r="H22" s="126"/>
      <c r="I22" s="126"/>
      <c r="J22" s="126"/>
      <c r="K22" s="126"/>
      <c r="L22" s="126"/>
      <c r="M22" s="126"/>
      <c r="N22" s="126"/>
      <c r="O22" s="126"/>
      <c r="P22" s="126"/>
      <c r="Q22" s="126"/>
    </row>
    <row r="23" spans="4:17" ht="15">
      <c r="D23" s="50"/>
      <c r="E23" s="50"/>
      <c r="F23" s="50"/>
      <c r="G23" s="50"/>
      <c r="H23" s="50"/>
      <c r="I23" s="50"/>
      <c r="J23" s="50"/>
      <c r="K23" s="50"/>
      <c r="L23" s="50"/>
      <c r="M23" s="50"/>
      <c r="N23" s="50"/>
      <c r="O23" s="50"/>
      <c r="P23" s="50"/>
      <c r="Q23" s="50"/>
    </row>
    <row r="24" spans="3:17" ht="15">
      <c r="C24" s="91" t="s">
        <v>93</v>
      </c>
      <c r="D24" s="94"/>
      <c r="E24" s="95"/>
      <c r="F24" s="95"/>
      <c r="G24" s="95"/>
      <c r="H24" s="95"/>
      <c r="I24" s="95"/>
      <c r="J24" s="95"/>
      <c r="K24" s="95"/>
      <c r="L24" s="95"/>
      <c r="M24" s="95"/>
      <c r="N24" s="95"/>
      <c r="O24" s="95"/>
      <c r="P24" s="95"/>
      <c r="Q24" s="95"/>
    </row>
    <row r="25" spans="3:17" ht="6" customHeight="1">
      <c r="C25" s="92"/>
      <c r="D25" s="95"/>
      <c r="E25" s="95"/>
      <c r="F25" s="95"/>
      <c r="G25" s="95"/>
      <c r="H25" s="95"/>
      <c r="I25" s="95"/>
      <c r="J25" s="95"/>
      <c r="K25" s="95"/>
      <c r="L25" s="95"/>
      <c r="M25" s="95"/>
      <c r="N25" s="95"/>
      <c r="O25" s="95"/>
      <c r="P25" s="95"/>
      <c r="Q25" s="95"/>
    </row>
    <row r="26" spans="3:17" ht="15">
      <c r="C26" s="92"/>
      <c r="D26" s="124" t="s">
        <v>111</v>
      </c>
      <c r="E26" s="124"/>
      <c r="F26" s="124"/>
      <c r="G26" s="124"/>
      <c r="H26" s="124"/>
      <c r="I26" s="124"/>
      <c r="J26" s="124"/>
      <c r="K26" s="124"/>
      <c r="L26" s="124"/>
      <c r="M26" s="124"/>
      <c r="N26" s="124"/>
      <c r="O26" s="124"/>
      <c r="P26" s="124"/>
      <c r="Q26" s="124"/>
    </row>
    <row r="27" spans="3:17" ht="15">
      <c r="C27" s="92"/>
      <c r="D27" s="124"/>
      <c r="E27" s="124"/>
      <c r="F27" s="124"/>
      <c r="G27" s="124"/>
      <c r="H27" s="124"/>
      <c r="I27" s="124"/>
      <c r="J27" s="124"/>
      <c r="K27" s="124"/>
      <c r="L27" s="124"/>
      <c r="M27" s="124"/>
      <c r="N27" s="124"/>
      <c r="O27" s="124"/>
      <c r="P27" s="124"/>
      <c r="Q27" s="124"/>
    </row>
    <row r="28" spans="4:17" ht="15">
      <c r="D28" s="50"/>
      <c r="E28" s="50"/>
      <c r="F28" s="50"/>
      <c r="G28" s="50"/>
      <c r="H28" s="50"/>
      <c r="I28" s="50"/>
      <c r="J28" s="50"/>
      <c r="K28" s="50"/>
      <c r="L28" s="50"/>
      <c r="M28" s="50"/>
      <c r="N28" s="50"/>
      <c r="O28" s="50"/>
      <c r="P28" s="50"/>
      <c r="Q28" s="50"/>
    </row>
    <row r="29" spans="2:17" ht="15">
      <c r="B29" s="52" t="s">
        <v>97</v>
      </c>
      <c r="D29" s="50"/>
      <c r="E29" s="50"/>
      <c r="F29" s="50"/>
      <c r="G29" s="50"/>
      <c r="H29" s="50"/>
      <c r="I29" s="50"/>
      <c r="J29" s="50"/>
      <c r="K29" s="50"/>
      <c r="L29" s="50"/>
      <c r="M29" s="50"/>
      <c r="N29" s="50"/>
      <c r="O29" s="50"/>
      <c r="P29" s="50"/>
      <c r="Q29" s="50"/>
    </row>
    <row r="30" spans="4:17" ht="15">
      <c r="D30" s="50"/>
      <c r="E30" s="50"/>
      <c r="F30" s="50"/>
      <c r="G30" s="50"/>
      <c r="H30" s="50"/>
      <c r="I30" s="50"/>
      <c r="J30" s="50"/>
      <c r="K30" s="50"/>
      <c r="L30" s="50"/>
      <c r="M30" s="50"/>
      <c r="N30" s="50"/>
      <c r="O30" s="50"/>
      <c r="P30" s="50"/>
      <c r="Q30" s="50"/>
    </row>
    <row r="31" spans="3:17" ht="15">
      <c r="C31" s="91" t="s">
        <v>96</v>
      </c>
      <c r="D31" s="92"/>
      <c r="E31" s="92"/>
      <c r="F31" s="92"/>
      <c r="G31" s="92"/>
      <c r="H31" s="92"/>
      <c r="I31" s="92"/>
      <c r="J31" s="92"/>
      <c r="K31" s="92"/>
      <c r="L31" s="92"/>
      <c r="M31" s="92"/>
      <c r="N31" s="92"/>
      <c r="O31" s="92"/>
      <c r="P31" s="92"/>
      <c r="Q31" s="92"/>
    </row>
    <row r="32" spans="3:17" ht="6" customHeight="1">
      <c r="C32" s="92"/>
      <c r="D32" s="92"/>
      <c r="E32" s="92"/>
      <c r="F32" s="92"/>
      <c r="G32" s="92"/>
      <c r="H32" s="92"/>
      <c r="I32" s="92"/>
      <c r="J32" s="92"/>
      <c r="K32" s="92"/>
      <c r="L32" s="92"/>
      <c r="M32" s="92"/>
      <c r="N32" s="92"/>
      <c r="O32" s="92"/>
      <c r="P32" s="92"/>
      <c r="Q32" s="92"/>
    </row>
    <row r="33" spans="3:17" ht="15" customHeight="1">
      <c r="C33" s="92"/>
      <c r="D33" s="124" t="s">
        <v>112</v>
      </c>
      <c r="E33" s="124"/>
      <c r="F33" s="124"/>
      <c r="G33" s="124"/>
      <c r="H33" s="124"/>
      <c r="I33" s="124"/>
      <c r="J33" s="124"/>
      <c r="K33" s="124"/>
      <c r="L33" s="124"/>
      <c r="M33" s="124"/>
      <c r="N33" s="124"/>
      <c r="O33" s="124"/>
      <c r="P33" s="124"/>
      <c r="Q33" s="124"/>
    </row>
    <row r="34" spans="3:17" ht="15">
      <c r="C34" s="92"/>
      <c r="D34" s="124"/>
      <c r="E34" s="124"/>
      <c r="F34" s="124"/>
      <c r="G34" s="124"/>
      <c r="H34" s="124"/>
      <c r="I34" s="124"/>
      <c r="J34" s="124"/>
      <c r="K34" s="124"/>
      <c r="L34" s="124"/>
      <c r="M34" s="124"/>
      <c r="N34" s="124"/>
      <c r="O34" s="124"/>
      <c r="P34" s="124"/>
      <c r="Q34" s="124"/>
    </row>
    <row r="35" spans="3:17" ht="15">
      <c r="C35" s="92"/>
      <c r="D35" s="124"/>
      <c r="E35" s="124"/>
      <c r="F35" s="124"/>
      <c r="G35" s="124"/>
      <c r="H35" s="124"/>
      <c r="I35" s="124"/>
      <c r="J35" s="124"/>
      <c r="K35" s="124"/>
      <c r="L35" s="124"/>
      <c r="M35" s="124"/>
      <c r="N35" s="124"/>
      <c r="O35" s="124"/>
      <c r="P35" s="124"/>
      <c r="Q35" s="124"/>
    </row>
    <row r="36" spans="3:17" ht="15">
      <c r="C36" s="92"/>
      <c r="D36" s="124"/>
      <c r="E36" s="124"/>
      <c r="F36" s="124"/>
      <c r="G36" s="124"/>
      <c r="H36" s="124"/>
      <c r="I36" s="124"/>
      <c r="J36" s="124"/>
      <c r="K36" s="124"/>
      <c r="L36" s="124"/>
      <c r="M36" s="124"/>
      <c r="N36" s="124"/>
      <c r="O36" s="124"/>
      <c r="P36" s="124"/>
      <c r="Q36" s="124"/>
    </row>
    <row r="37" spans="3:17" ht="15">
      <c r="C37" s="92"/>
      <c r="D37" s="124"/>
      <c r="E37" s="124"/>
      <c r="F37" s="124"/>
      <c r="G37" s="124"/>
      <c r="H37" s="124"/>
      <c r="I37" s="124"/>
      <c r="J37" s="124"/>
      <c r="K37" s="124"/>
      <c r="L37" s="124"/>
      <c r="M37" s="124"/>
      <c r="N37" s="124"/>
      <c r="O37" s="124"/>
      <c r="P37" s="124"/>
      <c r="Q37" s="124"/>
    </row>
    <row r="38" spans="3:17" ht="15">
      <c r="C38" s="92"/>
      <c r="D38" s="126" t="s">
        <v>64</v>
      </c>
      <c r="E38" s="126"/>
      <c r="F38" s="126"/>
      <c r="G38" s="126"/>
      <c r="H38" s="126"/>
      <c r="I38" s="126"/>
      <c r="J38" s="126"/>
      <c r="K38" s="126"/>
      <c r="L38" s="126"/>
      <c r="M38" s="126"/>
      <c r="N38" s="126"/>
      <c r="O38" s="126"/>
      <c r="P38" s="126"/>
      <c r="Q38" s="126"/>
    </row>
    <row r="39" spans="3:17" ht="15.75" thickBot="1">
      <c r="C39" s="92"/>
      <c r="D39" s="92"/>
      <c r="E39" s="92"/>
      <c r="F39" s="92"/>
      <c r="G39" s="92"/>
      <c r="H39" s="92"/>
      <c r="I39" s="92"/>
      <c r="J39" s="92"/>
      <c r="K39" s="92"/>
      <c r="L39" s="92"/>
      <c r="M39" s="92"/>
      <c r="N39" s="92"/>
      <c r="O39" s="92"/>
      <c r="P39" s="92"/>
      <c r="Q39" s="92"/>
    </row>
    <row r="40" spans="3:17" ht="15">
      <c r="C40" s="92"/>
      <c r="D40" s="121" t="s">
        <v>63</v>
      </c>
      <c r="E40" s="119" t="s">
        <v>65</v>
      </c>
      <c r="F40" s="120"/>
      <c r="G40" s="92"/>
      <c r="H40" s="92"/>
      <c r="I40" s="92"/>
      <c r="J40" s="92"/>
      <c r="K40" s="92"/>
      <c r="L40" s="92"/>
      <c r="M40" s="92"/>
      <c r="N40" s="92"/>
      <c r="O40" s="92"/>
      <c r="P40" s="92"/>
      <c r="Q40" s="92"/>
    </row>
    <row r="41" spans="3:17" ht="15">
      <c r="C41" s="92"/>
      <c r="D41" s="122"/>
      <c r="E41" s="97" t="s">
        <v>61</v>
      </c>
      <c r="F41" s="99" t="s">
        <v>62</v>
      </c>
      <c r="G41" s="92"/>
      <c r="H41" s="92"/>
      <c r="I41" s="92"/>
      <c r="J41" s="92"/>
      <c r="K41" s="92"/>
      <c r="L41" s="92"/>
      <c r="M41" s="92"/>
      <c r="N41" s="92"/>
      <c r="O41" s="92"/>
      <c r="P41" s="92"/>
      <c r="Q41" s="92"/>
    </row>
    <row r="42" spans="3:17" ht="15">
      <c r="C42" s="92"/>
      <c r="D42" s="103" t="s">
        <v>25</v>
      </c>
      <c r="E42" s="98">
        <v>9.7</v>
      </c>
      <c r="F42" s="100">
        <v>8.3</v>
      </c>
      <c r="G42" s="92"/>
      <c r="H42" s="92"/>
      <c r="I42" s="92"/>
      <c r="J42" s="92"/>
      <c r="K42" s="92"/>
      <c r="L42" s="92"/>
      <c r="M42" s="92"/>
      <c r="N42" s="92"/>
      <c r="O42" s="92"/>
      <c r="P42" s="92"/>
      <c r="Q42" s="92"/>
    </row>
    <row r="43" spans="3:17" ht="15">
      <c r="C43" s="92"/>
      <c r="D43" s="103" t="s">
        <v>26</v>
      </c>
      <c r="E43" s="98">
        <v>1.5</v>
      </c>
      <c r="F43" s="100">
        <v>0.4</v>
      </c>
      <c r="G43" s="92"/>
      <c r="H43" s="92"/>
      <c r="I43" s="92"/>
      <c r="J43" s="92"/>
      <c r="K43" s="92"/>
      <c r="L43" s="92"/>
      <c r="M43" s="92"/>
      <c r="N43" s="92"/>
      <c r="O43" s="92"/>
      <c r="P43" s="92"/>
      <c r="Q43" s="92"/>
    </row>
    <row r="44" spans="3:17" ht="15.75" thickBot="1">
      <c r="C44" s="92"/>
      <c r="D44" s="104" t="s">
        <v>27</v>
      </c>
      <c r="E44" s="101">
        <v>1397</v>
      </c>
      <c r="F44" s="102">
        <v>214</v>
      </c>
      <c r="G44" s="92"/>
      <c r="H44" s="92"/>
      <c r="I44" s="92"/>
      <c r="J44" s="92"/>
      <c r="K44" s="92"/>
      <c r="L44" s="92"/>
      <c r="M44" s="92"/>
      <c r="N44" s="92"/>
      <c r="O44" s="92"/>
      <c r="P44" s="92"/>
      <c r="Q44" s="92"/>
    </row>
    <row r="45" spans="2:17" ht="15">
      <c r="B45" s="51"/>
      <c r="C45" s="96"/>
      <c r="D45" s="96"/>
      <c r="E45" s="96"/>
      <c r="F45" s="96"/>
      <c r="G45" s="96"/>
      <c r="H45" s="96"/>
      <c r="I45" s="96"/>
      <c r="J45" s="96"/>
      <c r="K45" s="96"/>
      <c r="L45" s="96"/>
      <c r="M45" s="96"/>
      <c r="N45" s="96"/>
      <c r="O45" s="96"/>
      <c r="P45" s="96"/>
      <c r="Q45" s="92"/>
    </row>
  </sheetData>
  <sheetProtection sheet="1" objects="1" scenarios="1"/>
  <mergeCells count="9">
    <mergeCell ref="E40:F40"/>
    <mergeCell ref="D40:D41"/>
    <mergeCell ref="D11:Q13"/>
    <mergeCell ref="D33:Q37"/>
    <mergeCell ref="B4:Q7"/>
    <mergeCell ref="D17:Q18"/>
    <mergeCell ref="D26:Q27"/>
    <mergeCell ref="D22:Q22"/>
    <mergeCell ref="D38:Q38"/>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37"/>
  <sheetViews>
    <sheetView zoomScalePageLayoutView="0" workbookViewId="0" topLeftCell="A1">
      <selection activeCell="F17" sqref="F17"/>
    </sheetView>
  </sheetViews>
  <sheetFormatPr defaultColWidth="9.140625" defaultRowHeight="15"/>
  <cols>
    <col min="1" max="1" width="9.57421875" style="1" bestFit="1" customWidth="1"/>
    <col min="2" max="4" width="12.00390625" style="1" bestFit="1" customWidth="1"/>
    <col min="5" max="7" width="9.140625" style="1" customWidth="1"/>
    <col min="8" max="8" width="5.421875" style="1" bestFit="1" customWidth="1"/>
    <col min="9" max="9" width="7.00390625" style="1" bestFit="1" customWidth="1"/>
    <col min="10" max="10" width="15.140625" style="1" bestFit="1" customWidth="1"/>
    <col min="11" max="11" width="25.00390625" style="1" bestFit="1" customWidth="1"/>
    <col min="12" max="12" width="4.28125" style="1" bestFit="1" customWidth="1"/>
    <col min="13" max="13" width="9.8515625" style="1" bestFit="1" customWidth="1"/>
    <col min="14" max="14" width="13.421875" style="1" bestFit="1" customWidth="1"/>
    <col min="15" max="15" width="24.00390625" style="1" bestFit="1" customWidth="1"/>
    <col min="16" max="16384" width="9.140625" style="1" customWidth="1"/>
  </cols>
  <sheetData>
    <row r="1" spans="1:4" ht="15">
      <c r="A1" s="165" t="s">
        <v>80</v>
      </c>
      <c r="B1" s="157"/>
      <c r="C1" s="157"/>
      <c r="D1" s="158"/>
    </row>
    <row r="2" spans="1:4" ht="15">
      <c r="A2" s="159"/>
      <c r="B2" s="160"/>
      <c r="C2" s="160"/>
      <c r="D2" s="161"/>
    </row>
    <row r="3" spans="1:4" ht="15">
      <c r="A3" s="162"/>
      <c r="B3" s="163"/>
      <c r="C3" s="163"/>
      <c r="D3" s="164"/>
    </row>
    <row r="4" spans="1:4" ht="15">
      <c r="A4" s="150" t="s">
        <v>79</v>
      </c>
      <c r="B4" s="151"/>
      <c r="C4" s="151"/>
      <c r="D4" s="152"/>
    </row>
    <row r="5" spans="1:4" ht="15">
      <c r="A5" s="140" t="s">
        <v>31</v>
      </c>
      <c r="B5" s="137" t="s">
        <v>32</v>
      </c>
      <c r="C5" s="138"/>
      <c r="D5" s="139"/>
    </row>
    <row r="6" spans="1:4" ht="15">
      <c r="A6" s="141"/>
      <c r="B6" s="3" t="s">
        <v>1</v>
      </c>
      <c r="C6" s="3" t="s">
        <v>0</v>
      </c>
      <c r="D6" s="4" t="s">
        <v>2</v>
      </c>
    </row>
    <row r="7" spans="1:4" ht="15">
      <c r="A7" s="5">
        <v>2011</v>
      </c>
      <c r="B7" s="6">
        <v>7810</v>
      </c>
      <c r="C7" s="6">
        <v>3109</v>
      </c>
      <c r="D7" s="7">
        <f>B7-C7</f>
        <v>4701</v>
      </c>
    </row>
    <row r="8" spans="1:4" ht="15">
      <c r="A8" s="166" t="s">
        <v>114</v>
      </c>
      <c r="B8" s="128"/>
      <c r="C8" s="128"/>
      <c r="D8" s="129"/>
    </row>
    <row r="9" spans="1:4" ht="15">
      <c r="A9" s="130"/>
      <c r="B9" s="131"/>
      <c r="C9" s="131"/>
      <c r="D9" s="132"/>
    </row>
    <row r="10" spans="1:4" ht="15">
      <c r="A10" s="130"/>
      <c r="B10" s="131"/>
      <c r="C10" s="131"/>
      <c r="D10" s="132"/>
    </row>
    <row r="11" spans="1:4" ht="15">
      <c r="A11" s="130"/>
      <c r="B11" s="131"/>
      <c r="C11" s="131"/>
      <c r="D11" s="132"/>
    </row>
    <row r="12" spans="1:4" ht="15">
      <c r="A12" s="130"/>
      <c r="B12" s="131"/>
      <c r="C12" s="131"/>
      <c r="D12" s="132"/>
    </row>
    <row r="13" spans="1:4" ht="15">
      <c r="A13" s="133"/>
      <c r="B13" s="134"/>
      <c r="C13" s="134"/>
      <c r="D13" s="135"/>
    </row>
    <row r="14" spans="1:4" ht="15">
      <c r="A14" s="136"/>
      <c r="B14" s="136"/>
      <c r="C14" s="136"/>
      <c r="D14" s="136"/>
    </row>
    <row r="15" spans="1:4" ht="15">
      <c r="A15" s="136"/>
      <c r="B15" s="136"/>
      <c r="C15" s="136"/>
      <c r="D15" s="136"/>
    </row>
    <row r="16" spans="1:4" ht="15">
      <c r="A16" s="155"/>
      <c r="B16" s="155"/>
      <c r="C16" s="155"/>
      <c r="D16" s="155"/>
    </row>
    <row r="17" spans="1:4" ht="15">
      <c r="A17" s="156" t="s">
        <v>81</v>
      </c>
      <c r="B17" s="157"/>
      <c r="C17" s="157"/>
      <c r="D17" s="158"/>
    </row>
    <row r="18" spans="1:4" ht="15">
      <c r="A18" s="159"/>
      <c r="B18" s="160"/>
      <c r="C18" s="160"/>
      <c r="D18" s="161"/>
    </row>
    <row r="19" spans="1:4" ht="15">
      <c r="A19" s="162"/>
      <c r="B19" s="163"/>
      <c r="C19" s="163"/>
      <c r="D19" s="164"/>
    </row>
    <row r="20" spans="1:4" ht="15">
      <c r="A20" s="150" t="s">
        <v>113</v>
      </c>
      <c r="B20" s="151"/>
      <c r="C20" s="151"/>
      <c r="D20" s="152"/>
    </row>
    <row r="21" spans="1:4" ht="15">
      <c r="A21" s="8" t="s">
        <v>3</v>
      </c>
      <c r="B21" s="142" t="s">
        <v>5</v>
      </c>
      <c r="C21" s="142"/>
      <c r="D21" s="143"/>
    </row>
    <row r="22" spans="1:4" ht="15">
      <c r="A22" s="9">
        <v>2005</v>
      </c>
      <c r="B22" s="144">
        <v>1262</v>
      </c>
      <c r="C22" s="144"/>
      <c r="D22" s="145"/>
    </row>
    <row r="23" spans="1:4" ht="15">
      <c r="A23" s="5">
        <v>2011</v>
      </c>
      <c r="B23" s="146">
        <v>1285</v>
      </c>
      <c r="C23" s="146"/>
      <c r="D23" s="147"/>
    </row>
    <row r="24" spans="1:4" ht="15">
      <c r="A24" s="10" t="s">
        <v>33</v>
      </c>
      <c r="B24" s="148">
        <f>(B23-B22)/B23</f>
        <v>0.0178988326848249</v>
      </c>
      <c r="C24" s="148"/>
      <c r="D24" s="149"/>
    </row>
    <row r="25" spans="1:4" ht="15">
      <c r="A25" s="136"/>
      <c r="B25" s="136"/>
      <c r="C25" s="136"/>
      <c r="D25" s="136"/>
    </row>
    <row r="26" spans="1:4" ht="15">
      <c r="A26" s="136"/>
      <c r="B26" s="136"/>
      <c r="C26" s="136"/>
      <c r="D26" s="136"/>
    </row>
    <row r="27" spans="1:4" ht="15">
      <c r="A27" s="155"/>
      <c r="B27" s="155"/>
      <c r="C27" s="155"/>
      <c r="D27" s="155"/>
    </row>
    <row r="28" spans="1:4" ht="15">
      <c r="A28" s="156" t="s">
        <v>83</v>
      </c>
      <c r="B28" s="157"/>
      <c r="C28" s="157"/>
      <c r="D28" s="158"/>
    </row>
    <row r="29" spans="1:4" ht="15">
      <c r="A29" s="159"/>
      <c r="B29" s="160"/>
      <c r="C29" s="160"/>
      <c r="D29" s="161"/>
    </row>
    <row r="30" spans="1:4" ht="15">
      <c r="A30" s="162"/>
      <c r="B30" s="163"/>
      <c r="C30" s="163"/>
      <c r="D30" s="164"/>
    </row>
    <row r="31" spans="1:4" ht="15">
      <c r="A31" s="150" t="s">
        <v>82</v>
      </c>
      <c r="B31" s="151"/>
      <c r="C31" s="151"/>
      <c r="D31" s="152"/>
    </row>
    <row r="32" spans="1:4" ht="15">
      <c r="A32" s="153" t="s">
        <v>3</v>
      </c>
      <c r="B32" s="137" t="s">
        <v>32</v>
      </c>
      <c r="C32" s="138"/>
      <c r="D32" s="139"/>
    </row>
    <row r="33" spans="1:4" ht="15">
      <c r="A33" s="154"/>
      <c r="B33" s="3" t="s">
        <v>1</v>
      </c>
      <c r="C33" s="3" t="s">
        <v>0</v>
      </c>
      <c r="D33" s="4" t="s">
        <v>2</v>
      </c>
    </row>
    <row r="34" spans="1:4" ht="15">
      <c r="A34" s="5">
        <v>2005</v>
      </c>
      <c r="B34" s="6">
        <f>C34+D34</f>
        <v>7670.210116731518</v>
      </c>
      <c r="C34" s="6">
        <f>C7-(B24*C7)</f>
        <v>3053.352529182879</v>
      </c>
      <c r="D34" s="7">
        <f>D7-(B24*D7)</f>
        <v>4616.857587548639</v>
      </c>
    </row>
    <row r="35" spans="1:4" ht="15">
      <c r="A35" s="127" t="s">
        <v>84</v>
      </c>
      <c r="B35" s="128"/>
      <c r="C35" s="128"/>
      <c r="D35" s="129"/>
    </row>
    <row r="36" spans="1:4" ht="15">
      <c r="A36" s="130"/>
      <c r="B36" s="131"/>
      <c r="C36" s="131"/>
      <c r="D36" s="132"/>
    </row>
    <row r="37" spans="1:4" ht="15">
      <c r="A37" s="133"/>
      <c r="B37" s="134"/>
      <c r="C37" s="134"/>
      <c r="D37" s="135"/>
    </row>
  </sheetData>
  <sheetProtection sheet="1" objects="1" scenarios="1"/>
  <mergeCells count="22">
    <mergeCell ref="A1:D3"/>
    <mergeCell ref="A15:D15"/>
    <mergeCell ref="A16:D16"/>
    <mergeCell ref="A17:D19"/>
    <mergeCell ref="A26:D26"/>
    <mergeCell ref="A4:D4"/>
    <mergeCell ref="A8:D13"/>
    <mergeCell ref="A25:D25"/>
    <mergeCell ref="A35:D37"/>
    <mergeCell ref="A14:D14"/>
    <mergeCell ref="B5:D5"/>
    <mergeCell ref="A5:A6"/>
    <mergeCell ref="B32:D32"/>
    <mergeCell ref="B21:D21"/>
    <mergeCell ref="B22:D22"/>
    <mergeCell ref="B23:D23"/>
    <mergeCell ref="B24:D24"/>
    <mergeCell ref="A31:D31"/>
    <mergeCell ref="A32:A33"/>
    <mergeCell ref="A20:D20"/>
    <mergeCell ref="A27:D27"/>
    <mergeCell ref="A28:D30"/>
  </mergeCells>
  <printOptions/>
  <pageMargins left="0.7" right="0.7" top="0.75" bottom="0.75" header="0.3" footer="0.3"/>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1:H27"/>
  <sheetViews>
    <sheetView zoomScalePageLayoutView="0" workbookViewId="0" topLeftCell="A1">
      <selection activeCell="D9" sqref="D9"/>
    </sheetView>
  </sheetViews>
  <sheetFormatPr defaultColWidth="9.140625" defaultRowHeight="15"/>
  <cols>
    <col min="1" max="1" width="13.7109375" style="0" customWidth="1"/>
    <col min="2" max="2" width="7.00390625" style="0" bestFit="1" customWidth="1"/>
    <col min="3" max="3" width="19.57421875" style="0" bestFit="1" customWidth="1"/>
    <col min="4" max="4" width="28.7109375" style="0" bestFit="1" customWidth="1"/>
    <col min="5" max="5" width="34.140625" style="0" bestFit="1" customWidth="1"/>
    <col min="6" max="6" width="16.8515625" style="0" bestFit="1" customWidth="1"/>
    <col min="7" max="7" width="19.140625" style="0" bestFit="1" customWidth="1"/>
    <col min="8" max="8" width="21.140625" style="0" bestFit="1" customWidth="1"/>
  </cols>
  <sheetData>
    <row r="1" spans="1:8" ht="15">
      <c r="A1" s="171" t="s">
        <v>86</v>
      </c>
      <c r="B1" s="172"/>
      <c r="C1" s="172"/>
      <c r="D1" s="172"/>
      <c r="E1" s="172"/>
      <c r="F1" s="172"/>
      <c r="G1" s="172"/>
      <c r="H1" s="173"/>
    </row>
    <row r="2" spans="1:8" ht="15">
      <c r="A2" s="169" t="s">
        <v>3</v>
      </c>
      <c r="B2" s="167" t="s">
        <v>85</v>
      </c>
      <c r="C2" s="167"/>
      <c r="D2" s="167"/>
      <c r="E2" s="167"/>
      <c r="F2" s="167"/>
      <c r="G2" s="167"/>
      <c r="H2" s="168"/>
    </row>
    <row r="3" spans="1:8" ht="15">
      <c r="A3" s="170"/>
      <c r="B3" s="77" t="s">
        <v>4</v>
      </c>
      <c r="C3" s="77" t="s">
        <v>34</v>
      </c>
      <c r="D3" s="77" t="s">
        <v>35</v>
      </c>
      <c r="E3" s="77" t="s">
        <v>37</v>
      </c>
      <c r="F3" s="77" t="s">
        <v>14</v>
      </c>
      <c r="G3" s="77" t="s">
        <v>30</v>
      </c>
      <c r="H3" s="78" t="s">
        <v>36</v>
      </c>
    </row>
    <row r="4" spans="1:8" ht="15">
      <c r="A4" s="11" t="s">
        <v>100</v>
      </c>
      <c r="B4" s="12">
        <v>42.5</v>
      </c>
      <c r="C4" s="12">
        <v>11</v>
      </c>
      <c r="D4" s="12">
        <v>0</v>
      </c>
      <c r="E4" s="12">
        <v>0</v>
      </c>
      <c r="F4" s="12">
        <v>1.5</v>
      </c>
      <c r="G4" s="12">
        <v>11</v>
      </c>
      <c r="H4" s="13">
        <v>19</v>
      </c>
    </row>
    <row r="5" spans="1:8" ht="15">
      <c r="A5" s="14">
        <v>1985</v>
      </c>
      <c r="B5" s="15">
        <v>377</v>
      </c>
      <c r="C5" s="15">
        <v>21</v>
      </c>
      <c r="D5" s="15">
        <v>86</v>
      </c>
      <c r="E5" s="15">
        <v>12</v>
      </c>
      <c r="F5" s="15">
        <v>7</v>
      </c>
      <c r="G5" s="15">
        <v>6</v>
      </c>
      <c r="H5" s="16">
        <v>245</v>
      </c>
    </row>
    <row r="6" spans="1:8" ht="15">
      <c r="A6" s="14">
        <v>1990</v>
      </c>
      <c r="B6" s="15">
        <v>23</v>
      </c>
      <c r="C6" s="15">
        <v>23</v>
      </c>
      <c r="D6" s="15">
        <v>0</v>
      </c>
      <c r="E6" s="15">
        <v>0</v>
      </c>
      <c r="F6" s="15">
        <v>0</v>
      </c>
      <c r="G6" s="15">
        <v>0</v>
      </c>
      <c r="H6" s="16">
        <v>0</v>
      </c>
    </row>
    <row r="7" spans="1:8" ht="15">
      <c r="A7" s="14">
        <v>1991</v>
      </c>
      <c r="B7" s="15">
        <v>130</v>
      </c>
      <c r="C7" s="15">
        <v>3</v>
      </c>
      <c r="D7" s="15">
        <v>0</v>
      </c>
      <c r="E7" s="15">
        <v>0</v>
      </c>
      <c r="F7" s="15">
        <v>0</v>
      </c>
      <c r="G7" s="15">
        <v>0</v>
      </c>
      <c r="H7" s="16">
        <v>127</v>
      </c>
    </row>
    <row r="8" spans="1:8" ht="15">
      <c r="A8" s="14">
        <v>1992</v>
      </c>
      <c r="B8" s="15">
        <v>37</v>
      </c>
      <c r="C8" s="15">
        <v>37</v>
      </c>
      <c r="D8" s="15">
        <v>0</v>
      </c>
      <c r="E8" s="15">
        <v>0</v>
      </c>
      <c r="F8" s="15">
        <v>0</v>
      </c>
      <c r="G8" s="15">
        <v>0</v>
      </c>
      <c r="H8" s="16">
        <v>0</v>
      </c>
    </row>
    <row r="9" spans="1:8" ht="15">
      <c r="A9" s="14">
        <v>1993</v>
      </c>
      <c r="B9" s="15">
        <v>108</v>
      </c>
      <c r="C9" s="15">
        <v>88</v>
      </c>
      <c r="D9" s="15">
        <v>0</v>
      </c>
      <c r="E9" s="15">
        <v>0</v>
      </c>
      <c r="F9" s="15">
        <v>0</v>
      </c>
      <c r="G9" s="15">
        <v>20</v>
      </c>
      <c r="H9" s="16">
        <v>0</v>
      </c>
    </row>
    <row r="10" spans="1:8" ht="15">
      <c r="A10" s="14">
        <v>1994</v>
      </c>
      <c r="B10" s="15">
        <v>4</v>
      </c>
      <c r="C10" s="15">
        <v>0</v>
      </c>
      <c r="D10" s="15">
        <v>4</v>
      </c>
      <c r="E10" s="15">
        <v>0</v>
      </c>
      <c r="F10" s="15">
        <v>0</v>
      </c>
      <c r="G10" s="15">
        <v>0</v>
      </c>
      <c r="H10" s="16">
        <v>0</v>
      </c>
    </row>
    <row r="11" spans="1:8" ht="15">
      <c r="A11" s="14">
        <v>1995</v>
      </c>
      <c r="B11" s="15">
        <v>3</v>
      </c>
      <c r="C11" s="15">
        <v>0</v>
      </c>
      <c r="D11" s="15">
        <v>0</v>
      </c>
      <c r="E11" s="15">
        <v>0</v>
      </c>
      <c r="F11" s="15">
        <v>0</v>
      </c>
      <c r="G11" s="15">
        <v>3</v>
      </c>
      <c r="H11" s="16">
        <v>0</v>
      </c>
    </row>
    <row r="12" spans="1:8" ht="15">
      <c r="A12" s="14">
        <v>1996</v>
      </c>
      <c r="B12" s="15">
        <v>5</v>
      </c>
      <c r="C12" s="15">
        <v>0</v>
      </c>
      <c r="D12" s="15">
        <v>0</v>
      </c>
      <c r="E12" s="15">
        <v>0</v>
      </c>
      <c r="F12" s="15">
        <v>0</v>
      </c>
      <c r="G12" s="15">
        <v>5</v>
      </c>
      <c r="H12" s="16">
        <v>0</v>
      </c>
    </row>
    <row r="13" spans="1:8" ht="15">
      <c r="A13" s="14">
        <v>1997</v>
      </c>
      <c r="B13" s="15">
        <v>9</v>
      </c>
      <c r="C13" s="15">
        <v>5</v>
      </c>
      <c r="D13" s="15">
        <v>0</v>
      </c>
      <c r="E13" s="15">
        <v>0</v>
      </c>
      <c r="F13" s="15">
        <v>0</v>
      </c>
      <c r="G13" s="15">
        <v>4</v>
      </c>
      <c r="H13" s="16">
        <v>0</v>
      </c>
    </row>
    <row r="14" spans="1:8" ht="15">
      <c r="A14" s="14">
        <v>1998</v>
      </c>
      <c r="B14" s="15">
        <v>27</v>
      </c>
      <c r="C14" s="15">
        <v>9</v>
      </c>
      <c r="D14" s="15">
        <v>18</v>
      </c>
      <c r="E14" s="15">
        <v>0</v>
      </c>
      <c r="F14" s="15">
        <v>0</v>
      </c>
      <c r="G14" s="15">
        <v>0</v>
      </c>
      <c r="H14" s="16">
        <v>0</v>
      </c>
    </row>
    <row r="15" spans="1:8" ht="15">
      <c r="A15" s="14">
        <v>1999</v>
      </c>
      <c r="B15" s="15">
        <v>5</v>
      </c>
      <c r="C15" s="15">
        <v>5</v>
      </c>
      <c r="D15" s="15">
        <v>0</v>
      </c>
      <c r="E15" s="15">
        <v>0</v>
      </c>
      <c r="F15" s="15">
        <v>0</v>
      </c>
      <c r="G15" s="15">
        <v>0</v>
      </c>
      <c r="H15" s="16">
        <v>0</v>
      </c>
    </row>
    <row r="16" spans="1:8" ht="15">
      <c r="A16" s="14">
        <v>2000</v>
      </c>
      <c r="B16" s="15">
        <v>91</v>
      </c>
      <c r="C16" s="15">
        <v>0</v>
      </c>
      <c r="D16" s="15">
        <v>0</v>
      </c>
      <c r="E16" s="15">
        <v>0</v>
      </c>
      <c r="F16" s="15">
        <v>0</v>
      </c>
      <c r="G16" s="15">
        <v>33</v>
      </c>
      <c r="H16" s="16">
        <v>58</v>
      </c>
    </row>
    <row r="17" spans="1:8" ht="15">
      <c r="A17" s="14">
        <v>2001</v>
      </c>
      <c r="B17" s="15">
        <v>17</v>
      </c>
      <c r="C17" s="15">
        <v>0</v>
      </c>
      <c r="D17" s="15">
        <v>8</v>
      </c>
      <c r="E17" s="15">
        <v>0</v>
      </c>
      <c r="F17" s="15">
        <v>0</v>
      </c>
      <c r="G17" s="15">
        <v>3</v>
      </c>
      <c r="H17" s="16">
        <v>6</v>
      </c>
    </row>
    <row r="18" spans="1:8" ht="15">
      <c r="A18" s="14">
        <v>2002</v>
      </c>
      <c r="B18" s="15">
        <v>51</v>
      </c>
      <c r="C18" s="15">
        <v>0</v>
      </c>
      <c r="D18" s="15">
        <v>32</v>
      </c>
      <c r="E18" s="15">
        <v>0</v>
      </c>
      <c r="F18" s="15">
        <v>0</v>
      </c>
      <c r="G18" s="15">
        <v>19</v>
      </c>
      <c r="H18" s="16">
        <v>0</v>
      </c>
    </row>
    <row r="19" spans="1:8" ht="15">
      <c r="A19" s="14">
        <v>2003</v>
      </c>
      <c r="B19" s="15">
        <v>22</v>
      </c>
      <c r="C19" s="15">
        <v>0</v>
      </c>
      <c r="D19" s="15">
        <v>22</v>
      </c>
      <c r="E19" s="15">
        <v>0</v>
      </c>
      <c r="F19" s="15">
        <v>0</v>
      </c>
      <c r="G19" s="15">
        <v>0</v>
      </c>
      <c r="H19" s="16">
        <v>0</v>
      </c>
    </row>
    <row r="20" spans="1:8" ht="15">
      <c r="A20" s="14">
        <v>2004</v>
      </c>
      <c r="B20" s="15">
        <v>42</v>
      </c>
      <c r="C20" s="15">
        <v>12</v>
      </c>
      <c r="D20" s="15">
        <v>23</v>
      </c>
      <c r="E20" s="15">
        <v>0</v>
      </c>
      <c r="F20" s="15">
        <v>0</v>
      </c>
      <c r="G20" s="15">
        <v>4</v>
      </c>
      <c r="H20" s="16">
        <v>3</v>
      </c>
    </row>
    <row r="21" spans="1:8" ht="15">
      <c r="A21" s="14">
        <v>2005</v>
      </c>
      <c r="B21" s="15">
        <v>40</v>
      </c>
      <c r="C21" s="15">
        <v>0</v>
      </c>
      <c r="D21" s="15">
        <v>37</v>
      </c>
      <c r="E21" s="15">
        <v>0</v>
      </c>
      <c r="F21" s="15">
        <v>0</v>
      </c>
      <c r="G21" s="15">
        <v>0</v>
      </c>
      <c r="H21" s="16">
        <v>3</v>
      </c>
    </row>
    <row r="22" spans="1:8" ht="15">
      <c r="A22" s="79" t="s">
        <v>4</v>
      </c>
      <c r="B22" s="80">
        <f aca="true" t="shared" si="0" ref="B22:H22">SUM(B4:B21)</f>
        <v>1033.5</v>
      </c>
      <c r="C22" s="80">
        <f t="shared" si="0"/>
        <v>214</v>
      </c>
      <c r="D22" s="80">
        <f t="shared" si="0"/>
        <v>230</v>
      </c>
      <c r="E22" s="80">
        <f t="shared" si="0"/>
        <v>12</v>
      </c>
      <c r="F22" s="80">
        <f t="shared" si="0"/>
        <v>8.5</v>
      </c>
      <c r="G22" s="80">
        <f t="shared" si="0"/>
        <v>108</v>
      </c>
      <c r="H22" s="81">
        <f t="shared" si="0"/>
        <v>461</v>
      </c>
    </row>
    <row r="23" spans="1:8" ht="15">
      <c r="A23" s="82" t="s">
        <v>0</v>
      </c>
      <c r="B23" s="66">
        <f>B22*('2005 Land-Use Calculations'!$C$7/'2005 Land-Use Calculations'!$B$7)</f>
        <v>411.41504481434055</v>
      </c>
      <c r="C23" s="66">
        <f>C22*('2005 Land-Use Calculations'!$C$7/'2005 Land-Use Calculations'!$B$7)</f>
        <v>85.18898847631242</v>
      </c>
      <c r="D23" s="66">
        <f>D22*('2005 Land-Use Calculations'!$C$7/'2005 Land-Use Calculations'!$B$7)</f>
        <v>91.55825864276568</v>
      </c>
      <c r="E23" s="66">
        <f>E22*('2005 Land-Use Calculations'!$C$7/'2005 Land-Use Calculations'!$B$7)</f>
        <v>4.776952624839948</v>
      </c>
      <c r="F23" s="66">
        <f>F22*('2005 Land-Use Calculations'!$C$7/'2005 Land-Use Calculations'!$B$7)</f>
        <v>3.383674775928297</v>
      </c>
      <c r="G23" s="66">
        <f>G22*('2005 Land-Use Calculations'!$C$7/'2005 Land-Use Calculations'!$B$7)</f>
        <v>42.99257362355954</v>
      </c>
      <c r="H23" s="67">
        <f>H22*('2005 Land-Use Calculations'!$C$7/'2005 Land-Use Calculations'!$B$7)</f>
        <v>183.51459667093468</v>
      </c>
    </row>
    <row r="24" spans="1:8" ht="15">
      <c r="A24" s="83" t="s">
        <v>2</v>
      </c>
      <c r="B24" s="84">
        <f>B22*('2005 Land-Use Calculations'!$D$7/'2005 Land-Use Calculations'!$B$7)</f>
        <v>622.0849551856594</v>
      </c>
      <c r="C24" s="84">
        <f>C22*('2005 Land-Use Calculations'!$D$7/'2005 Land-Use Calculations'!$B$7)</f>
        <v>128.81101152368757</v>
      </c>
      <c r="D24" s="84">
        <f>D22*('2005 Land-Use Calculations'!$D$7/'2005 Land-Use Calculations'!$B$7)</f>
        <v>138.44174135723432</v>
      </c>
      <c r="E24" s="84">
        <f>E22*('2005 Land-Use Calculations'!$D$7/'2005 Land-Use Calculations'!$B$7)</f>
        <v>7.223047375160051</v>
      </c>
      <c r="F24" s="84">
        <f>F22*('2005 Land-Use Calculations'!$D$7/'2005 Land-Use Calculations'!$B$7)</f>
        <v>5.116325224071702</v>
      </c>
      <c r="G24" s="84">
        <f>G22*('2005 Land-Use Calculations'!$D$7/'2005 Land-Use Calculations'!$B$7)</f>
        <v>65.00742637644046</v>
      </c>
      <c r="H24" s="85">
        <f>H22*('2005 Land-Use Calculations'!$D$7/'2005 Land-Use Calculations'!$B$7)</f>
        <v>277.48540332906526</v>
      </c>
    </row>
    <row r="25" spans="1:8" ht="15">
      <c r="A25" s="127" t="s">
        <v>99</v>
      </c>
      <c r="B25" s="128"/>
      <c r="C25" s="128"/>
      <c r="D25" s="128"/>
      <c r="E25" s="128"/>
      <c r="F25" s="128"/>
      <c r="G25" s="128"/>
      <c r="H25" s="129"/>
    </row>
    <row r="26" spans="1:8" ht="15">
      <c r="A26" s="130"/>
      <c r="B26" s="131"/>
      <c r="C26" s="131"/>
      <c r="D26" s="131"/>
      <c r="E26" s="131"/>
      <c r="F26" s="131"/>
      <c r="G26" s="131"/>
      <c r="H26" s="132"/>
    </row>
    <row r="27" spans="1:8" ht="15">
      <c r="A27" s="133"/>
      <c r="B27" s="134"/>
      <c r="C27" s="134"/>
      <c r="D27" s="134"/>
      <c r="E27" s="134"/>
      <c r="F27" s="134"/>
      <c r="G27" s="134"/>
      <c r="H27" s="135"/>
    </row>
  </sheetData>
  <sheetProtection sheet="1" objects="1" scenarios="1"/>
  <mergeCells count="4">
    <mergeCell ref="B2:H2"/>
    <mergeCell ref="A25:H27"/>
    <mergeCell ref="A2:A3"/>
    <mergeCell ref="A1:H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R71"/>
  <sheetViews>
    <sheetView zoomScalePageLayoutView="0" workbookViewId="0" topLeftCell="A43">
      <selection activeCell="E80" sqref="E80"/>
    </sheetView>
  </sheetViews>
  <sheetFormatPr defaultColWidth="9.140625" defaultRowHeight="15"/>
  <cols>
    <col min="1" max="1" width="28.140625" style="0" bestFit="1" customWidth="1"/>
    <col min="2" max="3" width="11.00390625" style="0" bestFit="1" customWidth="1"/>
    <col min="4" max="4" width="14.7109375" style="0" bestFit="1" customWidth="1"/>
    <col min="5" max="5" width="15.57421875" style="0" customWidth="1"/>
    <col min="6" max="6" width="13.421875" style="0" customWidth="1"/>
    <col min="8" max="8" width="12.7109375" style="0" bestFit="1" customWidth="1"/>
    <col min="9" max="9" width="13.57421875" style="0" customWidth="1"/>
    <col min="10" max="10" width="15.57421875" style="0" customWidth="1"/>
    <col min="18" max="18" width="10.8515625" style="0" customWidth="1"/>
  </cols>
  <sheetData>
    <row r="1" spans="1:6" ht="15">
      <c r="A1" s="165" t="s">
        <v>59</v>
      </c>
      <c r="B1" s="157"/>
      <c r="C1" s="157"/>
      <c r="D1" s="157"/>
      <c r="E1" s="157"/>
      <c r="F1" s="158"/>
    </row>
    <row r="2" spans="1:6" ht="15">
      <c r="A2" s="162"/>
      <c r="B2" s="163"/>
      <c r="C2" s="163"/>
      <c r="D2" s="163"/>
      <c r="E2" s="163"/>
      <c r="F2" s="164"/>
    </row>
    <row r="3" spans="1:6" ht="15">
      <c r="A3" s="150" t="s">
        <v>58</v>
      </c>
      <c r="B3" s="181"/>
      <c r="C3" s="181"/>
      <c r="D3" s="181"/>
      <c r="E3" s="181"/>
      <c r="F3" s="182"/>
    </row>
    <row r="4" spans="1:6" ht="15">
      <c r="A4" s="140" t="s">
        <v>3</v>
      </c>
      <c r="B4" s="224" t="s">
        <v>7</v>
      </c>
      <c r="C4" s="196"/>
      <c r="D4" s="196"/>
      <c r="E4" s="224" t="s">
        <v>40</v>
      </c>
      <c r="F4" s="225"/>
    </row>
    <row r="5" spans="1:6" ht="15">
      <c r="A5" s="197"/>
      <c r="B5" s="18" t="s">
        <v>0</v>
      </c>
      <c r="C5" s="18" t="s">
        <v>2</v>
      </c>
      <c r="D5" s="18" t="s">
        <v>4</v>
      </c>
      <c r="E5" s="18" t="s">
        <v>38</v>
      </c>
      <c r="F5" s="19" t="s">
        <v>39</v>
      </c>
    </row>
    <row r="6" spans="1:8" ht="15">
      <c r="A6" s="43">
        <v>2011</v>
      </c>
      <c r="B6" s="44">
        <v>3109</v>
      </c>
      <c r="C6" s="44">
        <f>D6-B6</f>
        <v>4701</v>
      </c>
      <c r="D6" s="44">
        <v>7810</v>
      </c>
      <c r="E6" s="45">
        <f>B6/D6</f>
        <v>0.39807938540332904</v>
      </c>
      <c r="F6" s="46">
        <f>C6/D6</f>
        <v>0.6019206145966709</v>
      </c>
      <c r="H6" t="s">
        <v>57</v>
      </c>
    </row>
    <row r="7" spans="1:10" ht="15">
      <c r="A7" s="186"/>
      <c r="B7" s="186"/>
      <c r="C7" s="186"/>
      <c r="D7" s="186"/>
      <c r="E7" s="186"/>
      <c r="F7" s="186"/>
      <c r="G7" s="187"/>
      <c r="H7" s="49"/>
      <c r="I7" s="49"/>
      <c r="J7" s="49"/>
    </row>
    <row r="8" spans="1:10" ht="15">
      <c r="A8" s="188"/>
      <c r="B8" s="188"/>
      <c r="C8" s="188"/>
      <c r="D8" s="188"/>
      <c r="E8" s="188"/>
      <c r="F8" s="188"/>
      <c r="G8" s="187"/>
      <c r="H8" s="49"/>
      <c r="I8" s="49"/>
      <c r="J8" s="49"/>
    </row>
    <row r="9" spans="1:10" ht="15">
      <c r="A9" s="189"/>
      <c r="B9" s="189"/>
      <c r="C9" s="189"/>
      <c r="D9" s="189"/>
      <c r="E9" s="189"/>
      <c r="F9" s="189"/>
      <c r="G9" s="190"/>
      <c r="H9" s="49"/>
      <c r="I9" s="49"/>
      <c r="J9" s="49"/>
    </row>
    <row r="10" spans="1:10" ht="15">
      <c r="A10" s="156" t="s">
        <v>103</v>
      </c>
      <c r="B10" s="179"/>
      <c r="C10" s="179"/>
      <c r="D10" s="179"/>
      <c r="E10" s="179"/>
      <c r="F10" s="179"/>
      <c r="G10" s="180"/>
      <c r="H10" s="112"/>
      <c r="I10" s="112"/>
      <c r="J10" s="112"/>
    </row>
    <row r="11" spans="1:10" ht="15">
      <c r="A11" s="193"/>
      <c r="B11" s="194"/>
      <c r="C11" s="194"/>
      <c r="D11" s="194"/>
      <c r="E11" s="194"/>
      <c r="F11" s="194"/>
      <c r="G11" s="195"/>
      <c r="H11" s="112"/>
      <c r="I11" s="112"/>
      <c r="J11" s="112"/>
    </row>
    <row r="12" spans="1:10" ht="15">
      <c r="A12" s="193"/>
      <c r="B12" s="194"/>
      <c r="C12" s="194"/>
      <c r="D12" s="194"/>
      <c r="E12" s="194"/>
      <c r="F12" s="194"/>
      <c r="G12" s="195"/>
      <c r="H12" s="112"/>
      <c r="I12" s="112"/>
      <c r="J12" s="112"/>
    </row>
    <row r="13" spans="1:10" ht="15">
      <c r="A13" s="193"/>
      <c r="B13" s="194"/>
      <c r="C13" s="194"/>
      <c r="D13" s="194"/>
      <c r="E13" s="194"/>
      <c r="F13" s="194"/>
      <c r="G13" s="195"/>
      <c r="H13" s="112"/>
      <c r="I13" s="112"/>
      <c r="J13" s="112"/>
    </row>
    <row r="14" spans="1:10" ht="15">
      <c r="A14" s="176"/>
      <c r="B14" s="177"/>
      <c r="C14" s="177"/>
      <c r="D14" s="177"/>
      <c r="E14" s="177"/>
      <c r="F14" s="177"/>
      <c r="G14" s="178"/>
      <c r="H14" s="112"/>
      <c r="I14" s="112"/>
      <c r="J14" s="112"/>
    </row>
    <row r="15" spans="1:10" ht="15">
      <c r="A15" s="150" t="s">
        <v>104</v>
      </c>
      <c r="B15" s="181"/>
      <c r="C15" s="181"/>
      <c r="D15" s="181"/>
      <c r="E15" s="181"/>
      <c r="F15" s="181"/>
      <c r="G15" s="182"/>
      <c r="H15" s="113"/>
      <c r="I15" s="113"/>
      <c r="J15" s="113"/>
    </row>
    <row r="16" spans="1:7" ht="15">
      <c r="A16" s="140" t="s">
        <v>6</v>
      </c>
      <c r="B16" s="137" t="s">
        <v>41</v>
      </c>
      <c r="C16" s="137"/>
      <c r="D16" s="137"/>
      <c r="E16" s="137" t="s">
        <v>42</v>
      </c>
      <c r="F16" s="137"/>
      <c r="G16" s="223"/>
    </row>
    <row r="17" spans="1:7" ht="15">
      <c r="A17" s="197"/>
      <c r="B17" s="18" t="s">
        <v>0</v>
      </c>
      <c r="C17" s="18" t="s">
        <v>2</v>
      </c>
      <c r="D17" s="18" t="s">
        <v>4</v>
      </c>
      <c r="E17" s="18" t="s">
        <v>0</v>
      </c>
      <c r="F17" s="18" t="s">
        <v>2</v>
      </c>
      <c r="G17" s="19" t="s">
        <v>4</v>
      </c>
    </row>
    <row r="18" spans="1:7" ht="15">
      <c r="A18" s="31" t="s">
        <v>12</v>
      </c>
      <c r="B18" s="115">
        <f>$E$6*D18</f>
        <v>30.53268886043534</v>
      </c>
      <c r="C18" s="115">
        <f>$F$6*D18</f>
        <v>46.16731113956466</v>
      </c>
      <c r="D18" s="115">
        <v>76.7</v>
      </c>
      <c r="E18" s="115">
        <f>E6*G18</f>
        <v>49.759923175416134</v>
      </c>
      <c r="F18" s="115">
        <f>F6*G18</f>
        <v>75.24007682458387</v>
      </c>
      <c r="G18" s="116">
        <v>125</v>
      </c>
    </row>
    <row r="19" spans="1:7" ht="15">
      <c r="A19" s="20" t="s">
        <v>15</v>
      </c>
      <c r="B19" s="21" t="s">
        <v>18</v>
      </c>
      <c r="C19" s="21">
        <f>D19</f>
        <v>1.4</v>
      </c>
      <c r="D19" s="21">
        <v>1.4</v>
      </c>
      <c r="E19" s="21" t="str">
        <f aca="true" t="shared" si="0" ref="E19:G20">B19</f>
        <v>N/A</v>
      </c>
      <c r="F19" s="21">
        <f t="shared" si="0"/>
        <v>1.4</v>
      </c>
      <c r="G19" s="86">
        <f t="shared" si="0"/>
        <v>1.4</v>
      </c>
    </row>
    <row r="20" spans="1:7" ht="15">
      <c r="A20" s="20" t="s">
        <v>9</v>
      </c>
      <c r="B20" s="21">
        <f>D20</f>
        <v>8.9</v>
      </c>
      <c r="C20" s="21" t="s">
        <v>18</v>
      </c>
      <c r="D20" s="21">
        <v>8.9</v>
      </c>
      <c r="E20" s="21">
        <f t="shared" si="0"/>
        <v>8.9</v>
      </c>
      <c r="F20" s="21" t="str">
        <f t="shared" si="0"/>
        <v>N/A</v>
      </c>
      <c r="G20" s="86">
        <f t="shared" si="0"/>
        <v>8.9</v>
      </c>
    </row>
    <row r="21" spans="1:10" ht="15">
      <c r="A21" s="34" t="s">
        <v>11</v>
      </c>
      <c r="B21" s="87">
        <f>$E$6*D21</f>
        <v>18.66992317541613</v>
      </c>
      <c r="C21" s="87">
        <f>$F$6*D21</f>
        <v>28.230076824583865</v>
      </c>
      <c r="D21" s="87">
        <v>46.9</v>
      </c>
      <c r="E21" s="87">
        <f>E6*G21</f>
        <v>246.01306017925734</v>
      </c>
      <c r="F21" s="87">
        <f>F6*G21</f>
        <v>371.98693982074263</v>
      </c>
      <c r="G21" s="88">
        <v>618</v>
      </c>
      <c r="H21" s="114"/>
      <c r="I21" s="114"/>
      <c r="J21" s="114"/>
    </row>
    <row r="22" spans="1:10" ht="15">
      <c r="A22" s="192" t="s">
        <v>115</v>
      </c>
      <c r="B22" s="179"/>
      <c r="C22" s="179"/>
      <c r="D22" s="179"/>
      <c r="E22" s="179"/>
      <c r="F22" s="179"/>
      <c r="G22" s="180"/>
      <c r="H22" s="109"/>
      <c r="I22" s="109"/>
      <c r="J22" s="109"/>
    </row>
    <row r="23" spans="1:10" ht="15">
      <c r="A23" s="193"/>
      <c r="B23" s="194"/>
      <c r="C23" s="194"/>
      <c r="D23" s="194"/>
      <c r="E23" s="194"/>
      <c r="F23" s="194"/>
      <c r="G23" s="195"/>
      <c r="H23" s="109"/>
      <c r="I23" s="109"/>
      <c r="J23" s="109"/>
    </row>
    <row r="24" spans="1:10" ht="15">
      <c r="A24" s="193"/>
      <c r="B24" s="194"/>
      <c r="C24" s="194"/>
      <c r="D24" s="194"/>
      <c r="E24" s="194"/>
      <c r="F24" s="194"/>
      <c r="G24" s="195"/>
      <c r="H24" s="109"/>
      <c r="I24" s="109"/>
      <c r="J24" s="109"/>
    </row>
    <row r="25" spans="1:10" ht="15">
      <c r="A25" s="193"/>
      <c r="B25" s="194"/>
      <c r="C25" s="194"/>
      <c r="D25" s="194"/>
      <c r="E25" s="194"/>
      <c r="F25" s="194"/>
      <c r="G25" s="195"/>
      <c r="H25" s="109"/>
      <c r="I25" s="109"/>
      <c r="J25" s="109"/>
    </row>
    <row r="26" spans="1:10" ht="15">
      <c r="A26" s="193"/>
      <c r="B26" s="194"/>
      <c r="C26" s="194"/>
      <c r="D26" s="194"/>
      <c r="E26" s="194"/>
      <c r="F26" s="194"/>
      <c r="G26" s="195"/>
      <c r="H26" s="109"/>
      <c r="I26" s="109"/>
      <c r="J26" s="109"/>
    </row>
    <row r="27" spans="1:10" ht="22.5" customHeight="1">
      <c r="A27" s="193"/>
      <c r="B27" s="194"/>
      <c r="C27" s="194"/>
      <c r="D27" s="194"/>
      <c r="E27" s="194"/>
      <c r="F27" s="194"/>
      <c r="G27" s="195"/>
      <c r="H27" s="110"/>
      <c r="I27" s="110"/>
      <c r="J27" s="110"/>
    </row>
    <row r="28" spans="1:10" ht="22.5" customHeight="1">
      <c r="A28" s="193"/>
      <c r="B28" s="194"/>
      <c r="C28" s="194"/>
      <c r="D28" s="194"/>
      <c r="E28" s="194"/>
      <c r="F28" s="194"/>
      <c r="G28" s="195"/>
      <c r="H28" s="110"/>
      <c r="I28" s="110"/>
      <c r="J28" s="110"/>
    </row>
    <row r="29" spans="1:10" ht="15" customHeight="1">
      <c r="A29" s="193"/>
      <c r="B29" s="194"/>
      <c r="C29" s="194"/>
      <c r="D29" s="194"/>
      <c r="E29" s="194"/>
      <c r="F29" s="194"/>
      <c r="G29" s="195"/>
      <c r="H29" s="111"/>
      <c r="I29" s="111"/>
      <c r="J29" s="111"/>
    </row>
    <row r="30" spans="1:10" ht="15" customHeight="1">
      <c r="A30" s="176"/>
      <c r="B30" s="177"/>
      <c r="C30" s="177"/>
      <c r="D30" s="177"/>
      <c r="E30" s="177"/>
      <c r="F30" s="177"/>
      <c r="G30" s="178"/>
      <c r="H30" s="111"/>
      <c r="I30" s="111"/>
      <c r="J30" s="111"/>
    </row>
    <row r="31" spans="1:10" ht="15">
      <c r="A31" s="191"/>
      <c r="B31" s="191"/>
      <c r="C31" s="191"/>
      <c r="D31" s="191"/>
      <c r="E31" s="191"/>
      <c r="F31" s="49"/>
      <c r="G31" s="49"/>
      <c r="H31" s="49"/>
      <c r="I31" s="49"/>
      <c r="J31" s="49"/>
    </row>
    <row r="32" spans="1:10" ht="15">
      <c r="A32" s="188"/>
      <c r="B32" s="188"/>
      <c r="C32" s="188"/>
      <c r="D32" s="188"/>
      <c r="E32" s="188"/>
      <c r="F32" s="49"/>
      <c r="G32" s="49"/>
      <c r="H32" s="49"/>
      <c r="I32" s="49"/>
      <c r="J32" s="49"/>
    </row>
    <row r="33" spans="1:10" ht="15">
      <c r="A33" s="189"/>
      <c r="B33" s="189"/>
      <c r="C33" s="189"/>
      <c r="D33" s="189"/>
      <c r="E33" s="189"/>
      <c r="F33" s="49"/>
      <c r="G33" s="49"/>
      <c r="H33" s="49"/>
      <c r="I33" s="49"/>
      <c r="J33" s="49"/>
    </row>
    <row r="34" spans="1:10" ht="15">
      <c r="A34" s="183" t="s">
        <v>60</v>
      </c>
      <c r="B34" s="184"/>
      <c r="C34" s="184"/>
      <c r="D34" s="184"/>
      <c r="E34" s="185"/>
      <c r="F34" s="117"/>
      <c r="G34" s="117"/>
      <c r="H34" s="49"/>
      <c r="I34" s="49"/>
      <c r="J34" s="49"/>
    </row>
    <row r="35" spans="1:7" ht="15">
      <c r="A35" s="150" t="s">
        <v>105</v>
      </c>
      <c r="B35" s="181"/>
      <c r="C35" s="181"/>
      <c r="D35" s="181"/>
      <c r="E35" s="182"/>
      <c r="F35" s="118"/>
      <c r="G35" s="118"/>
    </row>
    <row r="36" spans="1:5" ht="15">
      <c r="A36" s="140" t="s">
        <v>6</v>
      </c>
      <c r="B36" s="196" t="s">
        <v>43</v>
      </c>
      <c r="C36" s="196"/>
      <c r="D36" s="196" t="s">
        <v>44</v>
      </c>
      <c r="E36" s="222"/>
    </row>
    <row r="37" spans="1:5" ht="15">
      <c r="A37" s="197"/>
      <c r="B37" s="18" t="s">
        <v>19</v>
      </c>
      <c r="C37" s="18" t="s">
        <v>23</v>
      </c>
      <c r="D37" s="18" t="s">
        <v>19</v>
      </c>
      <c r="E37" s="19" t="s">
        <v>23</v>
      </c>
    </row>
    <row r="38" spans="1:5" ht="15">
      <c r="A38" s="23" t="s">
        <v>13</v>
      </c>
      <c r="B38" s="105" t="s">
        <v>20</v>
      </c>
      <c r="C38" s="105">
        <v>29.6</v>
      </c>
      <c r="D38" s="105" t="s">
        <v>20</v>
      </c>
      <c r="E38" s="108">
        <v>40</v>
      </c>
    </row>
    <row r="39" spans="1:5" ht="15">
      <c r="A39" s="20" t="s">
        <v>10</v>
      </c>
      <c r="B39" s="24" t="s">
        <v>21</v>
      </c>
      <c r="C39" s="24">
        <v>213</v>
      </c>
      <c r="D39" s="24" t="s">
        <v>21</v>
      </c>
      <c r="E39" s="25">
        <v>213</v>
      </c>
    </row>
    <row r="40" spans="1:7" ht="15">
      <c r="A40" s="26" t="s">
        <v>16</v>
      </c>
      <c r="B40" s="27" t="s">
        <v>22</v>
      </c>
      <c r="C40" s="107">
        <v>650</v>
      </c>
      <c r="D40" s="27" t="s">
        <v>22</v>
      </c>
      <c r="E40" s="29">
        <v>650</v>
      </c>
      <c r="F40" s="114"/>
      <c r="G40" s="114"/>
    </row>
    <row r="41" spans="1:7" ht="15">
      <c r="A41" s="127" t="s">
        <v>102</v>
      </c>
      <c r="B41" s="179"/>
      <c r="C41" s="179"/>
      <c r="D41" s="179"/>
      <c r="E41" s="180"/>
      <c r="F41" s="109"/>
      <c r="G41" s="109"/>
    </row>
    <row r="42" spans="1:7" ht="15">
      <c r="A42" s="176"/>
      <c r="B42" s="177"/>
      <c r="C42" s="177"/>
      <c r="D42" s="177"/>
      <c r="E42" s="178"/>
      <c r="F42" s="109"/>
      <c r="G42" s="109"/>
    </row>
    <row r="43" spans="1:18" ht="15">
      <c r="A43" s="17"/>
      <c r="B43" s="17"/>
      <c r="C43" s="17"/>
      <c r="D43" s="17"/>
      <c r="E43" s="17"/>
      <c r="F43" s="17"/>
      <c r="G43" s="17"/>
      <c r="H43" s="17"/>
      <c r="I43" s="17"/>
      <c r="J43" s="17"/>
      <c r="K43" s="17"/>
      <c r="L43" s="17"/>
      <c r="M43" s="17"/>
      <c r="N43" s="17"/>
      <c r="O43" s="17"/>
      <c r="P43" s="17"/>
      <c r="Q43" s="17"/>
      <c r="R43" s="17"/>
    </row>
    <row r="44" spans="1:18" ht="15">
      <c r="A44" s="188"/>
      <c r="B44" s="188"/>
      <c r="C44" s="188"/>
      <c r="D44" s="188"/>
      <c r="E44" s="188"/>
      <c r="F44" s="188"/>
      <c r="G44" s="188"/>
      <c r="H44" s="188"/>
      <c r="I44" s="188"/>
      <c r="J44" s="188"/>
      <c r="K44" s="188"/>
      <c r="L44" s="188"/>
      <c r="M44" s="188"/>
      <c r="N44" s="188"/>
      <c r="O44" s="188"/>
      <c r="P44" s="188"/>
      <c r="Q44" s="188"/>
      <c r="R44" s="188"/>
    </row>
    <row r="45" spans="1:18" ht="15">
      <c r="A45" s="189"/>
      <c r="B45" s="189"/>
      <c r="C45" s="189"/>
      <c r="D45" s="189"/>
      <c r="E45" s="189"/>
      <c r="F45" s="189"/>
      <c r="G45" s="189"/>
      <c r="H45" s="189"/>
      <c r="I45" s="189"/>
      <c r="J45" s="189"/>
      <c r="K45" s="189"/>
      <c r="L45" s="189"/>
      <c r="M45" s="189"/>
      <c r="N45" s="189"/>
      <c r="O45" s="189"/>
      <c r="P45" s="189"/>
      <c r="Q45" s="189"/>
      <c r="R45" s="189"/>
    </row>
    <row r="46" spans="1:18" ht="15">
      <c r="A46" s="156" t="s">
        <v>109</v>
      </c>
      <c r="B46" s="174"/>
      <c r="C46" s="174"/>
      <c r="D46" s="174"/>
      <c r="E46" s="174"/>
      <c r="F46" s="174"/>
      <c r="G46" s="174"/>
      <c r="H46" s="174"/>
      <c r="I46" s="174"/>
      <c r="J46" s="174"/>
      <c r="K46" s="174"/>
      <c r="L46" s="174"/>
      <c r="M46" s="174"/>
      <c r="N46" s="174"/>
      <c r="O46" s="174"/>
      <c r="P46" s="174"/>
      <c r="Q46" s="174"/>
      <c r="R46" s="175"/>
    </row>
    <row r="47" spans="1:18" ht="15">
      <c r="A47" s="176"/>
      <c r="B47" s="177"/>
      <c r="C47" s="177"/>
      <c r="D47" s="177"/>
      <c r="E47" s="177"/>
      <c r="F47" s="177"/>
      <c r="G47" s="177"/>
      <c r="H47" s="177"/>
      <c r="I47" s="177"/>
      <c r="J47" s="177"/>
      <c r="K47" s="177"/>
      <c r="L47" s="177"/>
      <c r="M47" s="177"/>
      <c r="N47" s="177"/>
      <c r="O47" s="177"/>
      <c r="P47" s="177"/>
      <c r="Q47" s="177"/>
      <c r="R47" s="178"/>
    </row>
    <row r="48" spans="1:18" ht="15">
      <c r="A48" s="150" t="s">
        <v>101</v>
      </c>
      <c r="B48" s="151"/>
      <c r="C48" s="151"/>
      <c r="D48" s="151"/>
      <c r="E48" s="151"/>
      <c r="F48" s="151"/>
      <c r="G48" s="151"/>
      <c r="H48" s="151"/>
      <c r="I48" s="151"/>
      <c r="J48" s="151"/>
      <c r="K48" s="184"/>
      <c r="L48" s="184"/>
      <c r="M48" s="184"/>
      <c r="N48" s="184"/>
      <c r="O48" s="184"/>
      <c r="P48" s="184"/>
      <c r="Q48" s="184"/>
      <c r="R48" s="185"/>
    </row>
    <row r="49" spans="1:18" ht="15">
      <c r="A49" s="200" t="s">
        <v>116</v>
      </c>
      <c r="B49" s="215"/>
      <c r="C49" s="215"/>
      <c r="D49" s="215"/>
      <c r="E49" s="215"/>
      <c r="F49" s="215"/>
      <c r="G49" s="215"/>
      <c r="H49" s="215"/>
      <c r="I49" s="215"/>
      <c r="J49" s="215"/>
      <c r="K49" s="215"/>
      <c r="L49" s="215"/>
      <c r="M49" s="215"/>
      <c r="N49" s="215"/>
      <c r="O49" s="215"/>
      <c r="P49" s="215"/>
      <c r="Q49" s="215"/>
      <c r="R49" s="216"/>
    </row>
    <row r="50" spans="1:18" ht="15">
      <c r="A50" s="140" t="s">
        <v>6</v>
      </c>
      <c r="B50" s="203" t="s">
        <v>7</v>
      </c>
      <c r="C50" s="196"/>
      <c r="D50" s="137" t="s">
        <v>52</v>
      </c>
      <c r="E50" s="137"/>
      <c r="F50" s="137"/>
      <c r="G50" s="137" t="s">
        <v>46</v>
      </c>
      <c r="H50" s="137"/>
      <c r="I50" s="137"/>
      <c r="J50" s="204" t="s">
        <v>47</v>
      </c>
      <c r="K50" s="204"/>
      <c r="L50" s="204"/>
      <c r="M50" s="204"/>
      <c r="N50" s="204"/>
      <c r="O50" s="204"/>
      <c r="P50" s="204"/>
      <c r="Q50" s="204"/>
      <c r="R50" s="205"/>
    </row>
    <row r="51" spans="1:18" ht="15">
      <c r="A51" s="217"/>
      <c r="B51" s="30" t="s">
        <v>0</v>
      </c>
      <c r="C51" s="18" t="s">
        <v>2</v>
      </c>
      <c r="D51" s="18" t="s">
        <v>25</v>
      </c>
      <c r="E51" s="18" t="s">
        <v>26</v>
      </c>
      <c r="F51" s="18" t="s">
        <v>27</v>
      </c>
      <c r="G51" s="18" t="s">
        <v>25</v>
      </c>
      <c r="H51" s="18" t="s">
        <v>26</v>
      </c>
      <c r="I51" s="18" t="s">
        <v>27</v>
      </c>
      <c r="J51" s="206"/>
      <c r="K51" s="206"/>
      <c r="L51" s="206"/>
      <c r="M51" s="206"/>
      <c r="N51" s="206"/>
      <c r="O51" s="206"/>
      <c r="P51" s="206"/>
      <c r="Q51" s="206"/>
      <c r="R51" s="207"/>
    </row>
    <row r="52" spans="1:18" ht="15">
      <c r="A52" s="31" t="s">
        <v>12</v>
      </c>
      <c r="B52" s="32">
        <v>31</v>
      </c>
      <c r="C52" s="32">
        <v>46</v>
      </c>
      <c r="D52" s="32">
        <f>(B52*9.7*(1-0.125))+(C52*8.3*(1-0.125))</f>
        <v>597.1875</v>
      </c>
      <c r="E52" s="32">
        <f>(B52*1.5*(1-0.15))+(C52*0.4*(1-0.15))</f>
        <v>55.165</v>
      </c>
      <c r="F52" s="32">
        <f>(B52*1397*(1-0.35))+(C52*214*(1-0.35))</f>
        <v>34548.15</v>
      </c>
      <c r="G52" s="32">
        <f>D52-(($B$52*9.7*(1-0.2))+($C$52*8.3*(1-0.2)))</f>
        <v>51.1875</v>
      </c>
      <c r="H52" s="32">
        <f>E52-(($B$52*1.5*(1-0.45))+($C$52*0.4*(1-0.45)))</f>
        <v>19.46999999999999</v>
      </c>
      <c r="I52" s="32">
        <f>F52-(($B$52*1397*(1-0.6))+($C$52*214*(1-0.6)))</f>
        <v>13287.75</v>
      </c>
      <c r="J52" s="213" t="s">
        <v>66</v>
      </c>
      <c r="K52" s="213"/>
      <c r="L52" s="213"/>
      <c r="M52" s="213"/>
      <c r="N52" s="213"/>
      <c r="O52" s="213"/>
      <c r="P52" s="213"/>
      <c r="Q52" s="213"/>
      <c r="R52" s="214"/>
    </row>
    <row r="53" spans="1:18" ht="15">
      <c r="A53" s="20" t="s">
        <v>15</v>
      </c>
      <c r="B53" s="33">
        <v>0</v>
      </c>
      <c r="C53" s="33">
        <v>1</v>
      </c>
      <c r="D53" s="33">
        <f>(B53*9.7)+(C53*8.3)</f>
        <v>8.3</v>
      </c>
      <c r="E53" s="33">
        <f>(B53*1.5)+(C53*0.4)</f>
        <v>0.4</v>
      </c>
      <c r="F53" s="33">
        <f>(B53*1397)+(C53*214)</f>
        <v>214</v>
      </c>
      <c r="G53" s="33">
        <f>D53-(C53*1.8)</f>
        <v>6.500000000000001</v>
      </c>
      <c r="H53" s="33">
        <f>E53-(C53*0.06)</f>
        <v>0.34</v>
      </c>
      <c r="I53" s="33">
        <f>F53-(C53*73.1)</f>
        <v>140.9</v>
      </c>
      <c r="J53" s="218" t="s">
        <v>67</v>
      </c>
      <c r="K53" s="218"/>
      <c r="L53" s="218"/>
      <c r="M53" s="218"/>
      <c r="N53" s="218"/>
      <c r="O53" s="218"/>
      <c r="P53" s="218"/>
      <c r="Q53" s="218"/>
      <c r="R53" s="219"/>
    </row>
    <row r="54" spans="1:18" ht="15">
      <c r="A54" s="20" t="s">
        <v>9</v>
      </c>
      <c r="B54" s="33">
        <v>9</v>
      </c>
      <c r="C54" s="33">
        <v>0</v>
      </c>
      <c r="D54" s="33">
        <f>(B54*9.7)+(C54*8.3)</f>
        <v>87.3</v>
      </c>
      <c r="E54" s="33">
        <f>(B54*1.5)+(C54*0.4)</f>
        <v>13.5</v>
      </c>
      <c r="F54" s="33">
        <f>(B54*1397)+(C54*214)</f>
        <v>12573</v>
      </c>
      <c r="G54" s="33">
        <f>D54-(B54*8.3)</f>
        <v>12.599999999999994</v>
      </c>
      <c r="H54" s="33">
        <f>E54-(B54*0.4)</f>
        <v>9.9</v>
      </c>
      <c r="I54" s="33">
        <f>F54-(B54*214)</f>
        <v>10647</v>
      </c>
      <c r="J54" s="218" t="s">
        <v>68</v>
      </c>
      <c r="K54" s="218"/>
      <c r="L54" s="218"/>
      <c r="M54" s="218"/>
      <c r="N54" s="218"/>
      <c r="O54" s="218"/>
      <c r="P54" s="218"/>
      <c r="Q54" s="218"/>
      <c r="R54" s="219"/>
    </row>
    <row r="55" spans="1:18" ht="15">
      <c r="A55" s="34" t="s">
        <v>11</v>
      </c>
      <c r="B55" s="35">
        <v>19</v>
      </c>
      <c r="C55" s="35">
        <v>28</v>
      </c>
      <c r="D55" s="35">
        <f>(B55*9.7)+(C55*8.3)</f>
        <v>416.70000000000005</v>
      </c>
      <c r="E55" s="35">
        <f>(B55*1.5)+(C55*0.4)</f>
        <v>39.7</v>
      </c>
      <c r="F55" s="35">
        <f>(B55*1397)+(C55*214)</f>
        <v>32535</v>
      </c>
      <c r="G55" s="35">
        <f>D55-($B$55*9.7*(1-0.7))+($C$55*8.3*(1-0.7))</f>
        <v>431.13000000000005</v>
      </c>
      <c r="H55" s="35">
        <f>E55-($B$55*1.5*(1-0.75))+($C$55*0.4*(1-0.75))</f>
        <v>35.375</v>
      </c>
      <c r="I55" s="35">
        <f>F55-($B$55*1397*(1-0.8))+($C$55*214*(1-0.8))</f>
        <v>28424.800000000003</v>
      </c>
      <c r="J55" s="208" t="s">
        <v>117</v>
      </c>
      <c r="K55" s="208"/>
      <c r="L55" s="208"/>
      <c r="M55" s="208"/>
      <c r="N55" s="208"/>
      <c r="O55" s="208"/>
      <c r="P55" s="208"/>
      <c r="Q55" s="208"/>
      <c r="R55" s="209"/>
    </row>
    <row r="56" spans="1:18" ht="15">
      <c r="A56" s="210" t="s">
        <v>24</v>
      </c>
      <c r="B56" s="211"/>
      <c r="C56" s="211"/>
      <c r="D56" s="211"/>
      <c r="E56" s="211"/>
      <c r="F56" s="211"/>
      <c r="G56" s="211"/>
      <c r="H56" s="211"/>
      <c r="I56" s="211"/>
      <c r="J56" s="211"/>
      <c r="K56" s="211"/>
      <c r="L56" s="211"/>
      <c r="M56" s="211"/>
      <c r="N56" s="211"/>
      <c r="O56" s="211"/>
      <c r="P56" s="211"/>
      <c r="Q56" s="211"/>
      <c r="R56" s="212"/>
    </row>
    <row r="57" spans="1:18" ht="15">
      <c r="A57" s="31" t="s">
        <v>48</v>
      </c>
      <c r="B57" s="137">
        <v>29.6</v>
      </c>
      <c r="C57" s="137"/>
      <c r="D57" s="2" t="s">
        <v>18</v>
      </c>
      <c r="E57" s="2" t="s">
        <v>18</v>
      </c>
      <c r="F57" s="2" t="s">
        <v>18</v>
      </c>
      <c r="G57" s="36">
        <f>((($B$57*5280*10)/43560)*9.7)*0.04</f>
        <v>13.920969696969694</v>
      </c>
      <c r="H57" s="36">
        <f>((($B$57*5280*10)/43560)*1.5)*0.04</f>
        <v>2.1527272727272724</v>
      </c>
      <c r="I57" s="36">
        <f>((($B$57*5280*10)/43560)*1397)*0.1</f>
        <v>5012.266666666666</v>
      </c>
      <c r="J57" s="213" t="s">
        <v>69</v>
      </c>
      <c r="K57" s="213"/>
      <c r="L57" s="213"/>
      <c r="M57" s="213"/>
      <c r="N57" s="213"/>
      <c r="O57" s="213"/>
      <c r="P57" s="213"/>
      <c r="Q57" s="213"/>
      <c r="R57" s="214"/>
    </row>
    <row r="58" spans="1:18" ht="15">
      <c r="A58" s="20" t="s">
        <v>49</v>
      </c>
      <c r="B58" s="220">
        <v>213</v>
      </c>
      <c r="C58" s="220"/>
      <c r="D58" s="22" t="s">
        <v>18</v>
      </c>
      <c r="E58" s="22" t="s">
        <v>18</v>
      </c>
      <c r="F58" s="22" t="s">
        <v>18</v>
      </c>
      <c r="G58" s="37">
        <v>0</v>
      </c>
      <c r="H58" s="37">
        <v>0</v>
      </c>
      <c r="I58" s="37">
        <v>0</v>
      </c>
      <c r="J58" s="218" t="s">
        <v>51</v>
      </c>
      <c r="K58" s="218"/>
      <c r="L58" s="218"/>
      <c r="M58" s="218"/>
      <c r="N58" s="218"/>
      <c r="O58" s="218"/>
      <c r="P58" s="218"/>
      <c r="Q58" s="218"/>
      <c r="R58" s="219"/>
    </row>
    <row r="59" spans="1:18" ht="15">
      <c r="A59" s="34" t="s">
        <v>50</v>
      </c>
      <c r="B59" s="221">
        <v>650</v>
      </c>
      <c r="C59" s="221"/>
      <c r="D59" s="28" t="s">
        <v>18</v>
      </c>
      <c r="E59" s="28" t="s">
        <v>18</v>
      </c>
      <c r="F59" s="28" t="s">
        <v>18</v>
      </c>
      <c r="G59" s="38">
        <f>$B$59*0.075</f>
        <v>48.75</v>
      </c>
      <c r="H59" s="38">
        <f>$B$59*0.068</f>
        <v>44.2</v>
      </c>
      <c r="I59" s="38">
        <f>$B$59*44.88</f>
        <v>29172</v>
      </c>
      <c r="J59" s="208" t="s">
        <v>70</v>
      </c>
      <c r="K59" s="208"/>
      <c r="L59" s="208"/>
      <c r="M59" s="208"/>
      <c r="N59" s="208"/>
      <c r="O59" s="208"/>
      <c r="P59" s="208"/>
      <c r="Q59" s="208"/>
      <c r="R59" s="209"/>
    </row>
    <row r="60" spans="1:18" s="42" customFormat="1" ht="15">
      <c r="A60" s="192" t="s">
        <v>118</v>
      </c>
      <c r="B60" s="128"/>
      <c r="C60" s="128"/>
      <c r="D60" s="128"/>
      <c r="E60" s="128"/>
      <c r="F60" s="128"/>
      <c r="G60" s="128"/>
      <c r="H60" s="128"/>
      <c r="I60" s="128"/>
      <c r="J60" s="128"/>
      <c r="K60" s="128"/>
      <c r="L60" s="128"/>
      <c r="M60" s="128"/>
      <c r="N60" s="128"/>
      <c r="O60" s="128"/>
      <c r="P60" s="128"/>
      <c r="Q60" s="128"/>
      <c r="R60" s="129"/>
    </row>
    <row r="61" spans="1:18" s="42" customFormat="1" ht="15">
      <c r="A61" s="133"/>
      <c r="B61" s="134"/>
      <c r="C61" s="134"/>
      <c r="D61" s="134"/>
      <c r="E61" s="134"/>
      <c r="F61" s="134"/>
      <c r="G61" s="134"/>
      <c r="H61" s="134"/>
      <c r="I61" s="134"/>
      <c r="J61" s="134"/>
      <c r="K61" s="134"/>
      <c r="L61" s="134"/>
      <c r="M61" s="134"/>
      <c r="N61" s="134"/>
      <c r="O61" s="134"/>
      <c r="P61" s="134"/>
      <c r="Q61" s="134"/>
      <c r="R61" s="135"/>
    </row>
    <row r="62" spans="1:18" ht="15">
      <c r="A62" s="17"/>
      <c r="B62" s="17"/>
      <c r="C62" s="17"/>
      <c r="D62" s="17"/>
      <c r="E62" s="17"/>
      <c r="F62" s="17"/>
      <c r="G62" s="17"/>
      <c r="H62" s="17"/>
      <c r="I62" s="17"/>
      <c r="J62" s="17"/>
      <c r="K62" s="17"/>
      <c r="L62" s="17"/>
      <c r="M62" s="17"/>
      <c r="N62" s="17"/>
      <c r="O62" s="17"/>
      <c r="P62" s="17"/>
      <c r="Q62" s="17"/>
      <c r="R62" s="17"/>
    </row>
    <row r="63" spans="1:18" ht="15">
      <c r="A63" s="150" t="s">
        <v>106</v>
      </c>
      <c r="B63" s="151"/>
      <c r="C63" s="151"/>
      <c r="D63" s="151"/>
      <c r="E63" s="151"/>
      <c r="F63" s="151"/>
      <c r="G63" s="151"/>
      <c r="H63" s="151"/>
      <c r="I63" s="151"/>
      <c r="J63" s="151"/>
      <c r="K63" s="151"/>
      <c r="L63" s="151"/>
      <c r="M63" s="151"/>
      <c r="N63" s="151"/>
      <c r="O63" s="151"/>
      <c r="P63" s="151"/>
      <c r="Q63" s="151"/>
      <c r="R63" s="152"/>
    </row>
    <row r="64" spans="1:18" ht="15">
      <c r="A64" s="200" t="s">
        <v>116</v>
      </c>
      <c r="B64" s="201"/>
      <c r="C64" s="201"/>
      <c r="D64" s="201"/>
      <c r="E64" s="201"/>
      <c r="F64" s="201"/>
      <c r="G64" s="201"/>
      <c r="H64" s="201"/>
      <c r="I64" s="201"/>
      <c r="J64" s="201"/>
      <c r="K64" s="201"/>
      <c r="L64" s="201"/>
      <c r="M64" s="201"/>
      <c r="N64" s="201"/>
      <c r="O64" s="201"/>
      <c r="P64" s="201"/>
      <c r="Q64" s="201"/>
      <c r="R64" s="202"/>
    </row>
    <row r="65" spans="1:18" ht="15">
      <c r="A65" s="140" t="s">
        <v>6</v>
      </c>
      <c r="B65" s="203" t="s">
        <v>7</v>
      </c>
      <c r="C65" s="203"/>
      <c r="D65" s="137" t="s">
        <v>45</v>
      </c>
      <c r="E65" s="137"/>
      <c r="F65" s="137"/>
      <c r="G65" s="137" t="s">
        <v>46</v>
      </c>
      <c r="H65" s="137"/>
      <c r="I65" s="137"/>
      <c r="J65" s="204" t="s">
        <v>47</v>
      </c>
      <c r="K65" s="204"/>
      <c r="L65" s="204"/>
      <c r="M65" s="204"/>
      <c r="N65" s="204"/>
      <c r="O65" s="204"/>
      <c r="P65" s="204"/>
      <c r="Q65" s="204"/>
      <c r="R65" s="205"/>
    </row>
    <row r="66" spans="1:18" ht="15">
      <c r="A66" s="197"/>
      <c r="B66" s="30" t="s">
        <v>0</v>
      </c>
      <c r="C66" s="18" t="s">
        <v>2</v>
      </c>
      <c r="D66" s="18" t="s">
        <v>25</v>
      </c>
      <c r="E66" s="18" t="s">
        <v>26</v>
      </c>
      <c r="F66" s="18" t="s">
        <v>27</v>
      </c>
      <c r="G66" s="18" t="s">
        <v>25</v>
      </c>
      <c r="H66" s="18" t="s">
        <v>26</v>
      </c>
      <c r="I66" s="18" t="s">
        <v>27</v>
      </c>
      <c r="J66" s="206"/>
      <c r="K66" s="206"/>
      <c r="L66" s="206"/>
      <c r="M66" s="206"/>
      <c r="N66" s="206"/>
      <c r="O66" s="206"/>
      <c r="P66" s="206"/>
      <c r="Q66" s="206"/>
      <c r="R66" s="207"/>
    </row>
    <row r="67" spans="1:18" ht="15">
      <c r="A67" s="31" t="s">
        <v>12</v>
      </c>
      <c r="B67" s="32">
        <v>146</v>
      </c>
      <c r="C67" s="32">
        <v>221</v>
      </c>
      <c r="D67" s="32">
        <f>(B67*9.7*(1-0.125))+(C67*8.3*(1-0.125))</f>
        <v>2844.1875</v>
      </c>
      <c r="E67" s="32">
        <f>(B67*1.5*(1-0.15))+(C67*0.4*(1-0.15))</f>
        <v>261.29</v>
      </c>
      <c r="F67" s="32">
        <f>(B67*1397*(1-0.35))+(C67*214*(1-0.35))</f>
        <v>163316.40000000002</v>
      </c>
      <c r="G67" s="32">
        <f>D67-((B67*9.7*(1-0.2))+(C67*8.3*(1-0.2)))</f>
        <v>243.7874999999999</v>
      </c>
      <c r="H67" s="32">
        <f>E67-((B67*1.5*(1-0.45))+(C67*0.4*(1-0.45)))</f>
        <v>92.22000000000003</v>
      </c>
      <c r="I67" s="32">
        <f>F67-((B67*1397*(1-0.6))+(C67*214*(1-0.6)))</f>
        <v>62814.000000000015</v>
      </c>
      <c r="J67" s="213" t="s">
        <v>66</v>
      </c>
      <c r="K67" s="213"/>
      <c r="L67" s="213"/>
      <c r="M67" s="213"/>
      <c r="N67" s="213"/>
      <c r="O67" s="213"/>
      <c r="P67" s="213"/>
      <c r="Q67" s="213"/>
      <c r="R67" s="214"/>
    </row>
    <row r="68" spans="1:18" ht="15">
      <c r="A68" s="34" t="s">
        <v>11</v>
      </c>
      <c r="B68" s="35">
        <v>600</v>
      </c>
      <c r="C68" s="35">
        <v>800</v>
      </c>
      <c r="D68" s="35">
        <f>(B68*9.7)+(C68*8.3)</f>
        <v>12460</v>
      </c>
      <c r="E68" s="35">
        <f>(B68*1.5)+(C68*0.4)</f>
        <v>1220</v>
      </c>
      <c r="F68" s="35">
        <f>(B68*1397)+(C68*214)</f>
        <v>1009400</v>
      </c>
      <c r="G68" s="35">
        <f>D68-(B68*9.7*(1-0.7))+(C68*8.3*(1-0.7))</f>
        <v>12706</v>
      </c>
      <c r="H68" s="35">
        <f>E68-(B68*1.5*(1-0.75))+(C68*0.4*(1-0.75))</f>
        <v>1075</v>
      </c>
      <c r="I68" s="35">
        <f>F68-(B68*1397*(1-0.8))+(C68*214*(1-0.8))</f>
        <v>876000</v>
      </c>
      <c r="J68" s="208" t="s">
        <v>117</v>
      </c>
      <c r="K68" s="208"/>
      <c r="L68" s="208"/>
      <c r="M68" s="208"/>
      <c r="N68" s="208"/>
      <c r="O68" s="208"/>
      <c r="P68" s="208"/>
      <c r="Q68" s="208"/>
      <c r="R68" s="209"/>
    </row>
    <row r="69" spans="1:18" ht="15">
      <c r="A69" s="210" t="s">
        <v>24</v>
      </c>
      <c r="B69" s="211"/>
      <c r="C69" s="211"/>
      <c r="D69" s="211"/>
      <c r="E69" s="211"/>
      <c r="F69" s="211"/>
      <c r="G69" s="211"/>
      <c r="H69" s="211"/>
      <c r="I69" s="211"/>
      <c r="J69" s="211"/>
      <c r="K69" s="211"/>
      <c r="L69" s="211"/>
      <c r="M69" s="211"/>
      <c r="N69" s="211"/>
      <c r="O69" s="211"/>
      <c r="P69" s="211"/>
      <c r="Q69" s="211"/>
      <c r="R69" s="212"/>
    </row>
    <row r="70" spans="1:18" ht="15">
      <c r="A70" s="39" t="s">
        <v>50</v>
      </c>
      <c r="B70" s="181">
        <v>1300</v>
      </c>
      <c r="C70" s="181"/>
      <c r="D70" s="41" t="s">
        <v>18</v>
      </c>
      <c r="E70" s="41" t="s">
        <v>18</v>
      </c>
      <c r="F70" s="41" t="s">
        <v>18</v>
      </c>
      <c r="G70" s="40">
        <f>B70*0.075</f>
        <v>97.5</v>
      </c>
      <c r="H70" s="40">
        <f>B70*0.068</f>
        <v>88.4</v>
      </c>
      <c r="I70" s="40">
        <f>B70*44.88</f>
        <v>58344</v>
      </c>
      <c r="J70" s="208" t="s">
        <v>70</v>
      </c>
      <c r="K70" s="208"/>
      <c r="L70" s="208"/>
      <c r="M70" s="208"/>
      <c r="N70" s="208"/>
      <c r="O70" s="208"/>
      <c r="P70" s="208"/>
      <c r="Q70" s="208"/>
      <c r="R70" s="209"/>
    </row>
    <row r="71" spans="1:18" ht="15">
      <c r="A71" s="39" t="s">
        <v>48</v>
      </c>
      <c r="B71" s="181">
        <v>10.4</v>
      </c>
      <c r="C71" s="181"/>
      <c r="D71" s="106" t="s">
        <v>18</v>
      </c>
      <c r="E71" s="106" t="s">
        <v>18</v>
      </c>
      <c r="F71" s="106" t="s">
        <v>18</v>
      </c>
      <c r="G71" s="40">
        <f>(((B71*5280*10)/43560)*9.7)*0.04</f>
        <v>4.891151515151515</v>
      </c>
      <c r="H71" s="40">
        <f>(((B71*5280*10)/43560)*1.5)*0.04</f>
        <v>0.7563636363636362</v>
      </c>
      <c r="I71" s="40">
        <f>(((B71*5280*10)/43560)*1397)*0.1</f>
        <v>1761.0666666666666</v>
      </c>
      <c r="J71" s="198" t="s">
        <v>69</v>
      </c>
      <c r="K71" s="198"/>
      <c r="L71" s="198"/>
      <c r="M71" s="198"/>
      <c r="N71" s="198"/>
      <c r="O71" s="198"/>
      <c r="P71" s="198"/>
      <c r="Q71" s="198"/>
      <c r="R71" s="199"/>
    </row>
  </sheetData>
  <sheetProtection sheet="1" objects="1" scenarios="1"/>
  <mergeCells count="59">
    <mergeCell ref="D36:E36"/>
    <mergeCell ref="B16:D16"/>
    <mergeCell ref="A1:F2"/>
    <mergeCell ref="E16:G16"/>
    <mergeCell ref="A3:F3"/>
    <mergeCell ref="B4:D4"/>
    <mergeCell ref="E4:F4"/>
    <mergeCell ref="A4:A5"/>
    <mergeCell ref="B58:C58"/>
    <mergeCell ref="B59:C59"/>
    <mergeCell ref="J57:R57"/>
    <mergeCell ref="J58:R58"/>
    <mergeCell ref="J59:R59"/>
    <mergeCell ref="A60:R61"/>
    <mergeCell ref="A44:R44"/>
    <mergeCell ref="A45:R45"/>
    <mergeCell ref="A48:R48"/>
    <mergeCell ref="A49:R49"/>
    <mergeCell ref="A50:A51"/>
    <mergeCell ref="D50:F50"/>
    <mergeCell ref="G50:I50"/>
    <mergeCell ref="J52:R52"/>
    <mergeCell ref="J53:R53"/>
    <mergeCell ref="J54:R54"/>
    <mergeCell ref="J55:R55"/>
    <mergeCell ref="B50:C50"/>
    <mergeCell ref="J50:R51"/>
    <mergeCell ref="A56:R56"/>
    <mergeCell ref="B57:C57"/>
    <mergeCell ref="J71:R71"/>
    <mergeCell ref="B71:C71"/>
    <mergeCell ref="A63:R63"/>
    <mergeCell ref="A64:R64"/>
    <mergeCell ref="A65:A66"/>
    <mergeCell ref="B65:C65"/>
    <mergeCell ref="D65:F65"/>
    <mergeCell ref="G65:I65"/>
    <mergeCell ref="J65:R66"/>
    <mergeCell ref="B70:C70"/>
    <mergeCell ref="J70:R70"/>
    <mergeCell ref="A69:R69"/>
    <mergeCell ref="J67:R67"/>
    <mergeCell ref="J68:R68"/>
    <mergeCell ref="A46:R47"/>
    <mergeCell ref="A41:E42"/>
    <mergeCell ref="A35:E35"/>
    <mergeCell ref="A34:E34"/>
    <mergeCell ref="A7:G7"/>
    <mergeCell ref="A8:G8"/>
    <mergeCell ref="A9:G9"/>
    <mergeCell ref="A31:E31"/>
    <mergeCell ref="A32:E32"/>
    <mergeCell ref="A33:E33"/>
    <mergeCell ref="A22:G30"/>
    <mergeCell ref="A10:G14"/>
    <mergeCell ref="A15:G15"/>
    <mergeCell ref="B36:C36"/>
    <mergeCell ref="A16:A17"/>
    <mergeCell ref="A36:A37"/>
  </mergeCells>
  <printOptions/>
  <pageMargins left="0.7" right="0.7" top="0.75" bottom="0.75" header="0.3" footer="0.3"/>
  <pageSetup horizontalDpi="1200" verticalDpi="1200" orientation="portrait" r:id="rId1"/>
</worksheet>
</file>

<file path=xl/worksheets/sheet5.xml><?xml version="1.0" encoding="utf-8"?>
<worksheet xmlns="http://schemas.openxmlformats.org/spreadsheetml/2006/main" xmlns:r="http://schemas.openxmlformats.org/officeDocument/2006/relationships">
  <dimension ref="A1:C42"/>
  <sheetViews>
    <sheetView zoomScalePageLayoutView="0" workbookViewId="0" topLeftCell="A1">
      <selection activeCell="I19" sqref="I19"/>
    </sheetView>
  </sheetViews>
  <sheetFormatPr defaultColWidth="9.140625" defaultRowHeight="15"/>
  <cols>
    <col min="1" max="1" width="35.8515625" style="0" customWidth="1"/>
    <col min="2" max="2" width="14.7109375" style="0" customWidth="1"/>
    <col min="3" max="3" width="16.28125" style="0" customWidth="1"/>
  </cols>
  <sheetData>
    <row r="1" spans="1:3" ht="15">
      <c r="A1" s="165" t="s">
        <v>87</v>
      </c>
      <c r="B1" s="157"/>
      <c r="C1" s="158"/>
    </row>
    <row r="2" spans="1:3" ht="15">
      <c r="A2" s="159"/>
      <c r="B2" s="160"/>
      <c r="C2" s="161"/>
    </row>
    <row r="3" spans="1:3" ht="15">
      <c r="A3" s="162"/>
      <c r="B3" s="163"/>
      <c r="C3" s="164"/>
    </row>
    <row r="4" spans="1:3" ht="15">
      <c r="A4" s="150" t="s">
        <v>77</v>
      </c>
      <c r="B4" s="151"/>
      <c r="C4" s="152"/>
    </row>
    <row r="5" spans="1:3" ht="15">
      <c r="A5" s="228" t="s">
        <v>3</v>
      </c>
      <c r="B5" s="230" t="s">
        <v>32</v>
      </c>
      <c r="C5" s="231"/>
    </row>
    <row r="6" spans="1:3" ht="15">
      <c r="A6" s="229"/>
      <c r="B6" s="53" t="s">
        <v>0</v>
      </c>
      <c r="C6" s="54" t="s">
        <v>2</v>
      </c>
    </row>
    <row r="7" spans="1:3" ht="15">
      <c r="A7" s="10">
        <v>2005</v>
      </c>
      <c r="B7" s="40">
        <f>'2005 Land-Use Calculations'!C34</f>
        <v>3053.352529182879</v>
      </c>
      <c r="C7" s="61">
        <f>'2005 Land-Use Calculations'!D34</f>
        <v>4616.857587548639</v>
      </c>
    </row>
    <row r="8" spans="1:3" ht="15">
      <c r="A8" s="70"/>
      <c r="B8" s="71"/>
      <c r="C8" s="72"/>
    </row>
    <row r="9" spans="1:3" ht="15">
      <c r="A9" s="73"/>
      <c r="B9" s="74"/>
      <c r="C9" s="75"/>
    </row>
    <row r="10" spans="1:3" ht="15">
      <c r="A10" s="73"/>
      <c r="B10" s="74"/>
      <c r="C10" s="75"/>
    </row>
    <row r="11" spans="1:3" ht="15">
      <c r="A11" s="165" t="s">
        <v>107</v>
      </c>
      <c r="B11" s="157"/>
      <c r="C11" s="158"/>
    </row>
    <row r="12" spans="1:3" ht="15">
      <c r="A12" s="159"/>
      <c r="B12" s="160"/>
      <c r="C12" s="161"/>
    </row>
    <row r="13" spans="1:3" ht="15">
      <c r="A13" s="159"/>
      <c r="B13" s="160"/>
      <c r="C13" s="161"/>
    </row>
    <row r="14" spans="1:3" ht="15">
      <c r="A14" s="193"/>
      <c r="B14" s="194"/>
      <c r="C14" s="195"/>
    </row>
    <row r="15" spans="1:3" ht="12.75" customHeight="1">
      <c r="A15" s="193"/>
      <c r="B15" s="194"/>
      <c r="C15" s="195"/>
    </row>
    <row r="16" spans="1:3" ht="15">
      <c r="A16" s="150" t="s">
        <v>108</v>
      </c>
      <c r="B16" s="151"/>
      <c r="C16" s="152"/>
    </row>
    <row r="17" spans="1:3" ht="15">
      <c r="A17" s="228" t="s">
        <v>6</v>
      </c>
      <c r="B17" s="237" t="s">
        <v>7</v>
      </c>
      <c r="C17" s="238"/>
    </row>
    <row r="18" spans="1:3" ht="15">
      <c r="A18" s="229"/>
      <c r="B18" s="53" t="s">
        <v>0</v>
      </c>
      <c r="C18" s="54" t="s">
        <v>2</v>
      </c>
    </row>
    <row r="19" spans="1:3" ht="15">
      <c r="A19" s="232" t="s">
        <v>71</v>
      </c>
      <c r="B19" s="233"/>
      <c r="C19" s="234"/>
    </row>
    <row r="20" spans="1:3" ht="15">
      <c r="A20" s="47" t="s">
        <v>29</v>
      </c>
      <c r="B20" s="69">
        <f>'2005 BMP Calculations'!C23</f>
        <v>85.18898847631242</v>
      </c>
      <c r="C20" s="76">
        <f>'2005 BMP Calculations'!C24</f>
        <v>128.81101152368757</v>
      </c>
    </row>
    <row r="21" spans="1:3" ht="15">
      <c r="A21" s="47" t="s">
        <v>8</v>
      </c>
      <c r="B21" s="69">
        <f>'2005 BMP Calculations'!D23</f>
        <v>91.55825864276568</v>
      </c>
      <c r="C21" s="76">
        <f>'2005 BMP Calculations'!D24</f>
        <v>138.44174135723432</v>
      </c>
    </row>
    <row r="22" spans="1:3" ht="15">
      <c r="A22" s="58" t="s">
        <v>76</v>
      </c>
      <c r="B22" s="57">
        <v>177</v>
      </c>
      <c r="C22" s="59">
        <v>267</v>
      </c>
    </row>
    <row r="23" spans="1:3" ht="15">
      <c r="A23" s="47" t="s">
        <v>28</v>
      </c>
      <c r="B23" s="69">
        <f>'2005 BMP Calculations'!E23</f>
        <v>4.776952624839948</v>
      </c>
      <c r="C23" s="76">
        <f>'2005 BMP Calculations'!E24</f>
        <v>7.223047375160051</v>
      </c>
    </row>
    <row r="24" spans="1:3" ht="15">
      <c r="A24" s="47" t="s">
        <v>14</v>
      </c>
      <c r="B24" s="69">
        <f>'2005 BMP Calculations'!F23</f>
        <v>3.383674775928297</v>
      </c>
      <c r="C24" s="76">
        <f>'2005 BMP Calculations'!F24</f>
        <v>5.116325224071702</v>
      </c>
    </row>
    <row r="25" spans="1:3" ht="15">
      <c r="A25" s="47" t="s">
        <v>30</v>
      </c>
      <c r="B25" s="69">
        <f>'2005 BMP Calculations'!G23</f>
        <v>42.99257362355954</v>
      </c>
      <c r="C25" s="76">
        <f>'2005 BMP Calculations'!G24</f>
        <v>65.00742637644046</v>
      </c>
    </row>
    <row r="26" spans="1:3" ht="15">
      <c r="A26" s="47" t="s">
        <v>17</v>
      </c>
      <c r="B26" s="69">
        <f>'2005 BMP Calculations'!H23</f>
        <v>183.51459667093468</v>
      </c>
      <c r="C26" s="76">
        <f>'2005 BMP Calculations'!H24</f>
        <v>277.48540332906526</v>
      </c>
    </row>
    <row r="27" spans="1:3" ht="15">
      <c r="A27" s="55" t="s">
        <v>55</v>
      </c>
      <c r="B27" s="66">
        <f>SUM(B20:B21,B23:B26)</f>
        <v>411.41504481434055</v>
      </c>
      <c r="C27" s="67">
        <f>SUM(C20:C21,C23:C26)</f>
        <v>622.0849551856593</v>
      </c>
    </row>
    <row r="28" spans="1:3" ht="15">
      <c r="A28" s="232" t="s">
        <v>72</v>
      </c>
      <c r="B28" s="233"/>
      <c r="C28" s="234"/>
    </row>
    <row r="29" spans="1:3" ht="15">
      <c r="A29" s="47" t="s">
        <v>11</v>
      </c>
      <c r="B29" s="33">
        <v>619</v>
      </c>
      <c r="C29" s="48">
        <v>828</v>
      </c>
    </row>
    <row r="30" spans="1:3" ht="15">
      <c r="A30" s="55" t="s">
        <v>73</v>
      </c>
      <c r="B30" s="56">
        <f>B27+B29</f>
        <v>1030.4150448143405</v>
      </c>
      <c r="C30" s="60">
        <f>C27+C29</f>
        <v>1450.0849551856593</v>
      </c>
    </row>
    <row r="31" spans="1:3" ht="15">
      <c r="A31" s="232" t="s">
        <v>74</v>
      </c>
      <c r="B31" s="233"/>
      <c r="C31" s="234"/>
    </row>
    <row r="32" spans="1:3" ht="15">
      <c r="A32" s="193" t="s">
        <v>53</v>
      </c>
      <c r="B32" s="235">
        <v>0</v>
      </c>
      <c r="C32" s="236">
        <v>1</v>
      </c>
    </row>
    <row r="33" spans="1:3" ht="15">
      <c r="A33" s="193"/>
      <c r="B33" s="235"/>
      <c r="C33" s="236"/>
    </row>
    <row r="34" spans="1:3" ht="15">
      <c r="A34" s="193" t="s">
        <v>54</v>
      </c>
      <c r="B34" s="226">
        <v>9</v>
      </c>
      <c r="C34" s="227">
        <v>0</v>
      </c>
    </row>
    <row r="35" spans="1:3" ht="15">
      <c r="A35" s="193"/>
      <c r="B35" s="226"/>
      <c r="C35" s="227"/>
    </row>
    <row r="36" spans="1:3" ht="15">
      <c r="A36" s="232" t="s">
        <v>56</v>
      </c>
      <c r="B36" s="233"/>
      <c r="C36" s="234"/>
    </row>
    <row r="37" spans="1:3" ht="17.25">
      <c r="A37" s="55" t="s">
        <v>78</v>
      </c>
      <c r="B37" s="62">
        <f>(('2005 Land-Use Calculations'!C34)-B34)-B30</f>
        <v>2013.9374843685387</v>
      </c>
      <c r="C37" s="63">
        <f>((('2005 Land-Use Calculations'!D34)+B34)-C32)-C30</f>
        <v>3174.7726323629795</v>
      </c>
    </row>
    <row r="38" spans="1:3" ht="15">
      <c r="A38" s="68" t="s">
        <v>75</v>
      </c>
      <c r="B38" s="64">
        <f>(B20+B21)-B22</f>
        <v>-0.2527528809218893</v>
      </c>
      <c r="C38" s="65">
        <f>(C20+C21)-C22</f>
        <v>0.2527528809218893</v>
      </c>
    </row>
    <row r="39" spans="1:3" ht="15">
      <c r="A39" s="127" t="s">
        <v>119</v>
      </c>
      <c r="B39" s="128"/>
      <c r="C39" s="129"/>
    </row>
    <row r="40" spans="1:3" ht="15">
      <c r="A40" s="130"/>
      <c r="B40" s="131"/>
      <c r="C40" s="132"/>
    </row>
    <row r="41" spans="1:3" ht="15">
      <c r="A41" s="130"/>
      <c r="B41" s="131"/>
      <c r="C41" s="132"/>
    </row>
    <row r="42" spans="1:3" ht="15">
      <c r="A42" s="176"/>
      <c r="B42" s="177"/>
      <c r="C42" s="178"/>
    </row>
  </sheetData>
  <sheetProtection sheet="1" objects="1" scenarios="1"/>
  <mergeCells count="19">
    <mergeCell ref="A1:C3"/>
    <mergeCell ref="A11:C15"/>
    <mergeCell ref="A4:C4"/>
    <mergeCell ref="A39:C42"/>
    <mergeCell ref="B34:B35"/>
    <mergeCell ref="C34:C35"/>
    <mergeCell ref="A5:A6"/>
    <mergeCell ref="B5:C5"/>
    <mergeCell ref="A19:C19"/>
    <mergeCell ref="A28:C28"/>
    <mergeCell ref="A36:C36"/>
    <mergeCell ref="A31:C31"/>
    <mergeCell ref="A32:A33"/>
    <mergeCell ref="B32:B33"/>
    <mergeCell ref="C32:C33"/>
    <mergeCell ref="A34:A35"/>
    <mergeCell ref="A16:C16"/>
    <mergeCell ref="A17:A18"/>
    <mergeCell ref="B17:C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jjw</dc:creator>
  <cp:keywords/>
  <dc:description/>
  <cp:lastModifiedBy>sal</cp:lastModifiedBy>
  <dcterms:created xsi:type="dcterms:W3CDTF">2015-06-23T19:08:50Z</dcterms:created>
  <dcterms:modified xsi:type="dcterms:W3CDTF">2015-08-19T15:02:16Z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Document</vt:lpwstr>
  </property>
  <property fmtid="{D5CDD505-2E9C-101B-9397-08002B2CF9AE}" pid="4" name="display_urn:schemas-microsoft-com:office:office#Edit">
    <vt:lpwstr>System Account</vt:lpwstr>
  </property>
  <property fmtid="{D5CDD505-2E9C-101B-9397-08002B2CF9AE}" pid="5" name="display_urn:schemas-microsoft-com:office:office#Auth">
    <vt:lpwstr>System Account</vt:lpwstr>
  </property>
</Properties>
</file>